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"/>
    </mc:Choice>
  </mc:AlternateContent>
  <xr:revisionPtr revIDLastSave="0" documentId="13_ncr:1_{0D3E809B-580A-4A98-AE83-64A86C8F423A}" xr6:coauthVersionLast="47" xr6:coauthVersionMax="47" xr10:uidLastSave="{00000000-0000-0000-0000-000000000000}"/>
  <bookViews>
    <workbookView xWindow="-108" yWindow="-108" windowWidth="30936" windowHeight="16776" tabRatio="704" xr2:uid="{008F16A3-8B5F-4E90-AFC5-A40A1196DD93}"/>
  </bookViews>
  <sheets>
    <sheet name="№1" sheetId="35" r:id="rId1"/>
    <sheet name="№2" sheetId="36" r:id="rId2"/>
    <sheet name=" Курс валют" sheetId="37" r:id="rId3"/>
    <sheet name="№3" sheetId="38" r:id="rId4"/>
    <sheet name="№4" sheetId="39" r:id="rId5"/>
    <sheet name="№5" sheetId="43" r:id="rId6"/>
    <sheet name="№6" sheetId="41" r:id="rId7"/>
    <sheet name="№7" sheetId="45" r:id="rId8"/>
    <sheet name="№8" sheetId="44" r:id="rId9"/>
    <sheet name="№9" sheetId="48" r:id="rId10"/>
    <sheet name="№10" sheetId="49" r:id="rId11"/>
    <sheet name="№10В" sheetId="50" r:id="rId12"/>
    <sheet name="№11" sheetId="56" r:id="rId13"/>
    <sheet name="№12" sheetId="51" r:id="rId14"/>
    <sheet name="№12.1К" sheetId="52" r:id="rId15"/>
    <sheet name="№12.2К" sheetId="53" r:id="rId16"/>
    <sheet name="№12.3К" sheetId="54" r:id="rId17"/>
    <sheet name="№12.4К" sheetId="55" r:id="rId18"/>
  </sheets>
  <definedNames>
    <definedName name="_xlnm._FilterDatabase" localSheetId="4" hidden="1">№4!$B$2:$G$168</definedName>
    <definedName name="_xlnm._FilterDatabase" localSheetId="5" hidden="1">№5!$B$5:$K$60</definedName>
    <definedName name="_xlnm._FilterDatabase" localSheetId="7" hidden="1">№7!$B$6:$I$56</definedName>
    <definedName name="_xlnm.Extract" localSheetId="4">№4!#REF!</definedName>
    <definedName name="_xlnm.Extract" localSheetId="5">№5!#REF!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8" i="39" l="1"/>
  <c r="B167" i="39"/>
  <c r="B166" i="39"/>
  <c r="B165" i="39"/>
  <c r="B164" i="39"/>
  <c r="B163" i="39"/>
  <c r="B162" i="39"/>
  <c r="B161" i="39"/>
  <c r="B160" i="39"/>
  <c r="B159" i="39"/>
  <c r="B158" i="39"/>
  <c r="B157" i="39"/>
  <c r="B156" i="39"/>
  <c r="B155" i="39"/>
  <c r="B154" i="39"/>
  <c r="B153" i="39"/>
  <c r="B152" i="39"/>
  <c r="B151" i="39"/>
  <c r="B150" i="39"/>
  <c r="B149" i="39"/>
  <c r="B148" i="39"/>
  <c r="B147" i="39"/>
  <c r="B146" i="39"/>
  <c r="B145" i="39"/>
  <c r="B144" i="39"/>
  <c r="B143" i="39"/>
  <c r="B142" i="39"/>
  <c r="B141" i="39"/>
  <c r="B140" i="39"/>
  <c r="B139" i="39"/>
  <c r="B138" i="39"/>
  <c r="B137" i="39"/>
  <c r="B136" i="39"/>
  <c r="B135" i="39"/>
  <c r="B134" i="39"/>
  <c r="B133" i="39"/>
  <c r="B132" i="39"/>
  <c r="B131" i="39"/>
  <c r="B130" i="39"/>
  <c r="B129" i="39"/>
  <c r="B128" i="39"/>
  <c r="B127" i="39"/>
  <c r="B126" i="39"/>
  <c r="B125" i="39"/>
  <c r="B124" i="39"/>
  <c r="B123" i="39"/>
  <c r="B122" i="39"/>
  <c r="B121" i="39"/>
  <c r="B120" i="39"/>
  <c r="B119" i="39"/>
  <c r="B118" i="39"/>
  <c r="B117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B86" i="39"/>
  <c r="B85" i="39"/>
  <c r="B84" i="39"/>
  <c r="B83" i="39"/>
  <c r="B82" i="39"/>
  <c r="B81" i="39"/>
  <c r="B80" i="39"/>
  <c r="B79" i="39"/>
  <c r="B78" i="39"/>
  <c r="B77" i="39"/>
  <c r="B76" i="39"/>
  <c r="B75" i="39"/>
  <c r="B74" i="39"/>
  <c r="B73" i="39"/>
  <c r="B72" i="39"/>
  <c r="B71" i="39"/>
  <c r="B70" i="39"/>
  <c r="B69" i="39"/>
  <c r="B68" i="39"/>
  <c r="B67" i="39"/>
  <c r="B66" i="39"/>
  <c r="B65" i="39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B3" i="39"/>
  <c r="J29" i="38"/>
  <c r="J30" i="38" s="1"/>
  <c r="C92" i="44" l="1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F39" i="48"/>
  <c r="F34" i="48"/>
  <c r="F24" i="48"/>
  <c r="F30" i="48"/>
  <c r="F23" i="48"/>
  <c r="F38" i="48"/>
  <c r="F41" i="48"/>
  <c r="F33" i="48"/>
  <c r="F22" i="48"/>
  <c r="F29" i="48"/>
  <c r="F28" i="48"/>
  <c r="F21" i="48"/>
  <c r="F40" i="48"/>
  <c r="F37" i="48"/>
  <c r="F20" i="48"/>
  <c r="F27" i="48"/>
  <c r="F11" i="48"/>
  <c r="F13" i="48"/>
  <c r="F19" i="48"/>
  <c r="F10" i="48"/>
  <c r="F18" i="48"/>
  <c r="F9" i="48"/>
  <c r="F36" i="48"/>
  <c r="F32" i="48"/>
  <c r="F31" i="48"/>
  <c r="F26" i="48"/>
  <c r="F12" i="48"/>
  <c r="F17" i="48"/>
  <c r="F8" i="48"/>
  <c r="F35" i="48"/>
  <c r="F16" i="48"/>
  <c r="F15" i="48"/>
  <c r="F25" i="48"/>
  <c r="F14" i="48"/>
  <c r="F36" i="36" l="1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F3" i="36"/>
  <c r="H36" i="35" l="1"/>
  <c r="G36" i="35"/>
  <c r="H35" i="35"/>
  <c r="G35" i="35"/>
  <c r="H34" i="35"/>
  <c r="G34" i="35"/>
  <c r="H33" i="35"/>
  <c r="G33" i="35"/>
  <c r="H32" i="35"/>
  <c r="G32" i="35"/>
  <c r="H31" i="35"/>
  <c r="G31" i="35"/>
  <c r="H30" i="35"/>
  <c r="G30" i="35"/>
  <c r="H29" i="35"/>
  <c r="G29" i="35"/>
  <c r="H28" i="35"/>
  <c r="G28" i="35"/>
  <c r="H27" i="35"/>
  <c r="G27" i="35"/>
  <c r="H26" i="35"/>
  <c r="G26" i="35"/>
  <c r="H25" i="35"/>
  <c r="G25" i="35"/>
  <c r="H24" i="35"/>
  <c r="G24" i="35"/>
  <c r="H23" i="35"/>
  <c r="G23" i="35"/>
  <c r="H22" i="35"/>
  <c r="G22" i="35"/>
  <c r="H21" i="35"/>
  <c r="G21" i="35"/>
  <c r="H20" i="35"/>
  <c r="G20" i="35"/>
  <c r="H19" i="35"/>
  <c r="G19" i="35"/>
  <c r="H18" i="35"/>
  <c r="G18" i="35"/>
  <c r="H17" i="35"/>
  <c r="G17" i="35"/>
  <c r="H16" i="35"/>
  <c r="G16" i="35"/>
  <c r="H15" i="35"/>
  <c r="G15" i="35"/>
  <c r="H14" i="35"/>
  <c r="G14" i="35"/>
  <c r="H13" i="35"/>
  <c r="G13" i="35"/>
  <c r="H12" i="35"/>
  <c r="G12" i="35"/>
  <c r="H11" i="35"/>
  <c r="G11" i="35"/>
  <c r="H10" i="35"/>
  <c r="G10" i="35"/>
  <c r="H9" i="35"/>
  <c r="G9" i="35"/>
  <c r="H8" i="35"/>
  <c r="G8" i="35"/>
  <c r="H7" i="35"/>
  <c r="G7" i="35"/>
  <c r="H6" i="35"/>
  <c r="G6" i="35"/>
  <c r="H5" i="35"/>
  <c r="G5" i="35"/>
  <c r="H4" i="35"/>
  <c r="G4" i="35"/>
  <c r="H3" i="35"/>
  <c r="G3" i="35"/>
  <c r="J33" i="35" l="1"/>
  <c r="J30" i="35"/>
  <c r="I4" i="35"/>
  <c r="J4" i="35" s="1"/>
  <c r="I6" i="35"/>
  <c r="J6" i="35" s="1"/>
  <c r="I10" i="35"/>
  <c r="J10" i="35" s="1"/>
  <c r="I11" i="35"/>
  <c r="J11" i="35" s="1"/>
  <c r="I13" i="35"/>
  <c r="J13" i="35" s="1"/>
  <c r="I15" i="35"/>
  <c r="J15" i="35" s="1"/>
  <c r="I17" i="35"/>
  <c r="J17" i="35" s="1"/>
  <c r="I19" i="35"/>
  <c r="J19" i="35" s="1"/>
  <c r="I21" i="35"/>
  <c r="J21" i="35" s="1"/>
  <c r="I23" i="35"/>
  <c r="J23" i="35" s="1"/>
  <c r="I25" i="35"/>
  <c r="J25" i="35" s="1"/>
  <c r="I27" i="35"/>
  <c r="J27" i="35" s="1"/>
  <c r="I29" i="35"/>
  <c r="J29" i="35" s="1"/>
  <c r="I31" i="35"/>
  <c r="J31" i="35" s="1"/>
  <c r="I33" i="35"/>
  <c r="I36" i="35"/>
  <c r="J36" i="35" s="1"/>
  <c r="I3" i="35"/>
  <c r="J3" i="35" s="1"/>
  <c r="I5" i="35"/>
  <c r="J5" i="35" s="1"/>
  <c r="I7" i="35"/>
  <c r="J7" i="35" s="1"/>
  <c r="I8" i="35"/>
  <c r="J8" i="35" s="1"/>
  <c r="I9" i="35"/>
  <c r="J9" i="35" s="1"/>
  <c r="I12" i="35"/>
  <c r="J12" i="35" s="1"/>
  <c r="I14" i="35"/>
  <c r="J14" i="35" s="1"/>
  <c r="I16" i="35"/>
  <c r="J16" i="35" s="1"/>
  <c r="I18" i="35"/>
  <c r="J18" i="35" s="1"/>
  <c r="I20" i="35"/>
  <c r="J20" i="35" s="1"/>
  <c r="I22" i="35"/>
  <c r="J22" i="35" s="1"/>
  <c r="I24" i="35"/>
  <c r="J24" i="35" s="1"/>
  <c r="I26" i="35"/>
  <c r="J26" i="35" s="1"/>
  <c r="I28" i="35"/>
  <c r="J28" i="35" s="1"/>
  <c r="I30" i="35"/>
  <c r="I32" i="35"/>
  <c r="J32" i="35" s="1"/>
  <c r="I34" i="35"/>
  <c r="J34" i="35" s="1"/>
  <c r="I35" i="35"/>
  <c r="J35" i="35" s="1"/>
  <c r="J47" i="38"/>
  <c r="J31" i="38"/>
  <c r="J32" i="38" s="1"/>
  <c r="J33" i="38" s="1"/>
  <c r="J45" i="38"/>
  <c r="J34" i="38" l="1"/>
  <c r="J35" i="38" s="1"/>
  <c r="J36" i="38" s="1"/>
  <c r="J37" i="38" s="1"/>
  <c r="J38" i="38" s="1"/>
  <c r="J39" i="38" s="1"/>
  <c r="J40" i="38" s="1"/>
  <c r="J48" i="38"/>
  <c r="J49" i="38" s="1"/>
  <c r="J50" i="38" s="1"/>
  <c r="J51" i="38" s="1"/>
  <c r="J52" i="38" s="1"/>
  <c r="J53" i="38" s="1"/>
  <c r="J54" i="38" s="1"/>
</calcChain>
</file>

<file path=xl/sharedStrings.xml><?xml version="1.0" encoding="utf-8"?>
<sst xmlns="http://schemas.openxmlformats.org/spreadsheetml/2006/main" count="4833" uniqueCount="742">
  <si>
    <t>ПІБ</t>
  </si>
  <si>
    <t>Відділ</t>
  </si>
  <si>
    <t>Додаткого відпрацьовано, год.</t>
  </si>
  <si>
    <t>Коефіцієнт надбавки</t>
  </si>
  <si>
    <t>Щомісячна виплата, у.е.</t>
  </si>
  <si>
    <t>Додаткові виплати, у.е.</t>
  </si>
  <si>
    <t>Внесок у пенсійний фонд, у.е.</t>
  </si>
  <si>
    <t>Податок на прибуток, у.е.</t>
  </si>
  <si>
    <t>Сума виплати, у.е.</t>
  </si>
  <si>
    <t xml:space="preserve">Завдання: 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</si>
  <si>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Перетворити вихідний </t>
    </r>
    <r>
      <rPr>
        <b/>
        <i/>
        <sz val="14"/>
        <color rgb="FF008000"/>
        <rFont val="Calibri"/>
        <family val="2"/>
        <charset val="204"/>
        <scheme val="minor"/>
      </rPr>
      <t>діапазон у таблицю.</t>
    </r>
  </si>
  <si>
    <r>
      <t xml:space="preserve">Застосувати до таблиці </t>
    </r>
    <r>
      <rPr>
        <b/>
        <i/>
        <sz val="14"/>
        <color rgb="FF008000"/>
        <rFont val="Calibri"/>
        <family val="2"/>
        <charset val="204"/>
        <scheme val="minor"/>
      </rPr>
      <t>стиль середній 7</t>
    </r>
    <r>
      <rPr>
        <i/>
        <sz val="14"/>
        <color rgb="FF008000"/>
        <rFont val="Calibri"/>
        <family val="2"/>
        <charset val="204"/>
        <scheme val="minor"/>
      </rPr>
      <t>.</t>
    </r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</si>
  <si>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 xml:space="preserve">Вимкнути строку </t>
    </r>
    <r>
      <rPr>
        <b/>
        <i/>
        <sz val="14"/>
        <color rgb="FF008000"/>
        <rFont val="Calibri"/>
        <family val="2"/>
        <charset val="204"/>
        <scheme val="minor"/>
      </rPr>
      <t>Ітогів</t>
    </r>
    <r>
      <rPr>
        <i/>
        <sz val="14"/>
        <color rgb="FF008000"/>
        <rFont val="Calibri"/>
        <family val="2"/>
        <charset val="204"/>
        <scheme val="minor"/>
      </rPr>
      <t xml:space="preserve"> (</t>
    </r>
    <r>
      <rPr>
        <b/>
        <i/>
        <sz val="14"/>
        <color rgb="FF008000"/>
        <rFont val="Calibri"/>
        <family val="2"/>
        <charset val="204"/>
        <scheme val="minor"/>
      </rPr>
      <t>Total Row</t>
    </r>
    <r>
      <rPr>
        <i/>
        <sz val="14"/>
        <color rgb="FF008000"/>
        <rFont val="Calibri"/>
        <family val="2"/>
        <charset val="204"/>
        <scheme val="minor"/>
      </rPr>
      <t>).</t>
    </r>
  </si>
  <si>
    <r>
      <rPr>
        <b/>
        <i/>
        <sz val="14"/>
        <color rgb="FF008000"/>
        <rFont val="Calibri"/>
        <family val="2"/>
        <charset val="204"/>
        <scheme val="minor"/>
      </rPr>
      <t>4.</t>
    </r>
    <r>
      <rPr>
        <i/>
        <sz val="14"/>
        <color rgb="FF008000"/>
        <rFont val="Calibri"/>
        <family val="2"/>
        <charset val="204"/>
        <scheme val="minor"/>
      </rPr>
      <t xml:space="preserve">Додати у кінець таблиці співробітника: </t>
    </r>
  </si>
  <si>
    <t xml:space="preserve"> - кількість значень по полю Відділ;</t>
  </si>
  <si>
    <t xml:space="preserve"> - сумму Щомісячних виплат;</t>
  </si>
  <si>
    <t xml:space="preserve"> - середне значення Додаткової виплати;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</si>
  <si>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 -</t>
    </r>
    <r>
      <rPr>
        <i/>
        <sz val="14"/>
        <color rgb="FF008000"/>
        <rFont val="Calibri"/>
        <family val="2"/>
        <charset val="204"/>
        <scheme val="minor"/>
      </rPr>
      <t xml:space="preserve"> Чудова В.В.;</t>
    </r>
  </si>
  <si>
    <r>
      <rPr>
        <b/>
        <i/>
        <sz val="14"/>
        <color rgb="FF008000"/>
        <rFont val="Calibri"/>
        <family val="2"/>
        <charset val="204"/>
        <scheme val="minor"/>
      </rPr>
      <t>5.</t>
    </r>
    <r>
      <rPr>
        <i/>
        <sz val="14"/>
        <color rgb="FF008000"/>
        <rFont val="Calibri"/>
        <family val="2"/>
        <charset val="204"/>
        <scheme val="minor"/>
      </rPr>
      <t xml:space="preserve">Увімкнути строку </t>
    </r>
    <r>
      <rPr>
        <b/>
        <i/>
        <sz val="14"/>
        <color rgb="FF008000"/>
        <rFont val="Calibri"/>
        <family val="2"/>
        <charset val="204"/>
        <scheme val="minor"/>
      </rPr>
      <t>Ітогів</t>
    </r>
    <r>
      <rPr>
        <i/>
        <sz val="14"/>
        <color rgb="FF008000"/>
        <rFont val="Calibri"/>
        <family val="2"/>
        <charset val="204"/>
        <scheme val="minor"/>
      </rPr>
      <t xml:space="preserve"> (</t>
    </r>
    <r>
      <rPr>
        <b/>
        <i/>
        <sz val="14"/>
        <color rgb="FF008000"/>
        <rFont val="Calibri"/>
        <family val="2"/>
        <charset val="204"/>
        <scheme val="minor"/>
      </rPr>
      <t>Total Row</t>
    </r>
    <r>
      <rPr>
        <i/>
        <sz val="14"/>
        <color rgb="FF008000"/>
        <rFont val="Calibri"/>
        <family val="2"/>
        <charset val="204"/>
        <scheme val="minor"/>
      </rPr>
      <t>), та відобразитии</t>
    </r>
  </si>
  <si>
    <r>
      <t xml:space="preserve">дані тільки з </t>
    </r>
    <r>
      <rPr>
        <b/>
        <i/>
        <sz val="14"/>
        <color rgb="FF008000"/>
        <rFont val="Calibri"/>
        <family val="2"/>
        <charset val="204"/>
        <scheme val="minor"/>
      </rPr>
      <t>відділу продажів.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</si>
  <si>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відділ продажів;</t>
    </r>
  </si>
  <si>
    <r>
      <rPr>
        <b/>
        <i/>
        <sz val="14"/>
        <color rgb="FF008000"/>
        <rFont val="Calibri"/>
        <family val="2"/>
        <charset val="204"/>
        <scheme val="minor"/>
      </rPr>
      <t xml:space="preserve"> -</t>
    </r>
    <r>
      <rPr>
        <i/>
        <sz val="14"/>
        <color rgb="FF008000"/>
        <rFont val="Calibri"/>
        <family val="2"/>
        <charset val="204"/>
        <scheme val="minor"/>
      </rPr>
      <t xml:space="preserve"> коефіцієнт надбавки: </t>
    </r>
    <r>
      <rPr>
        <b/>
        <i/>
        <sz val="14"/>
        <color rgb="FF008000"/>
        <rFont val="Calibri"/>
        <family val="2"/>
        <charset val="204"/>
        <scheme val="minor"/>
      </rPr>
      <t>1,5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</si>
  <si>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rPr>
        <b/>
        <i/>
        <sz val="14"/>
        <color rgb="FF008000"/>
        <rFont val="Calibri"/>
        <family val="2"/>
        <charset val="204"/>
        <scheme val="minor"/>
      </rPr>
      <t xml:space="preserve"> -</t>
    </r>
    <r>
      <rPr>
        <i/>
        <sz val="14"/>
        <color rgb="FF008000"/>
        <rFont val="Calibri"/>
        <family val="2"/>
        <charset val="204"/>
        <scheme val="minor"/>
      </rPr>
      <t xml:space="preserve"> щомісячна виплата: </t>
    </r>
    <r>
      <rPr>
        <b/>
        <i/>
        <sz val="14"/>
        <color rgb="FF008000"/>
        <rFont val="Calibri"/>
        <family val="2"/>
        <charset val="204"/>
        <scheme val="minor"/>
      </rPr>
      <t>1100</t>
    </r>
    <r>
      <rPr>
        <i/>
        <sz val="14"/>
        <color rgb="FF008000"/>
        <rFont val="Calibri"/>
        <family val="2"/>
        <charset val="204"/>
        <scheme val="minor"/>
      </rPr>
      <t>;</t>
    </r>
  </si>
  <si>
    <t>Найменування товару</t>
  </si>
  <si>
    <t>Постачальник</t>
  </si>
  <si>
    <t>Обсяг партії, т</t>
  </si>
  <si>
    <t>Витрати</t>
  </si>
  <si>
    <t>Дата надходження</t>
  </si>
  <si>
    <t>Прибуток</t>
  </si>
  <si>
    <t>Дата реалізації</t>
  </si>
  <si>
    <t>13.11.2019</t>
  </si>
  <si>
    <t>Ланта</t>
  </si>
  <si>
    <t>14.11.2019</t>
  </si>
  <si>
    <t>Валентина</t>
  </si>
  <si>
    <t>16.11.2019</t>
  </si>
  <si>
    <t>11.11.2019</t>
  </si>
  <si>
    <t>Крокус</t>
  </si>
  <si>
    <t>12.11.2019</t>
  </si>
  <si>
    <t>15.11.2019</t>
  </si>
  <si>
    <t>Марс</t>
  </si>
  <si>
    <t>Каскад</t>
  </si>
  <si>
    <t>18.11.2019</t>
  </si>
  <si>
    <t>Стратос</t>
  </si>
  <si>
    <t>17.11.2019</t>
  </si>
  <si>
    <r>
      <t xml:space="preserve">Застосувати до таблиці </t>
    </r>
    <r>
      <rPr>
        <b/>
        <i/>
        <sz val="14"/>
        <color rgb="FF008000"/>
        <rFont val="Calibri"/>
        <family val="2"/>
        <charset val="204"/>
        <scheme val="minor"/>
      </rPr>
      <t>стиль середній 14.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</si>
  <si>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 Прибуток, грівня;</t>
    </r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</si>
  <si>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>До таблиці додати стовпці:</t>
    </r>
  </si>
  <si>
    <t>Оріон</t>
  </si>
  <si>
    <t>Ірис</t>
  </si>
  <si>
    <t>Колізей</t>
  </si>
  <si>
    <t>Прод-Сервіс</t>
  </si>
  <si>
    <t>Пінгвін</t>
  </si>
  <si>
    <t>Мозаїка</t>
  </si>
  <si>
    <t>Баунті</t>
  </si>
  <si>
    <t>Снікерс</t>
  </si>
  <si>
    <t>Твікс</t>
  </si>
  <si>
    <t>Пікнік</t>
  </si>
  <si>
    <t>Курс
євро</t>
  </si>
  <si>
    <t>Курс долара</t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</si>
  <si>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 грівню;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</si>
  <si>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євро.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</si>
  <si>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Прибуток, євро.</t>
    </r>
  </si>
  <si>
    <t>кожної валюти.</t>
  </si>
  <si>
    <t>Мілківей</t>
  </si>
  <si>
    <r>
      <rPr>
        <b/>
        <i/>
        <sz val="14"/>
        <color rgb="FF008000"/>
        <rFont val="Calibri"/>
        <family val="2"/>
        <charset val="204"/>
        <scheme val="minor"/>
      </rPr>
      <t>прибутку</t>
    </r>
    <r>
      <rPr>
        <i/>
        <sz val="14"/>
        <color rgb="FF008000"/>
        <rFont val="Calibri"/>
        <family val="2"/>
        <charset val="204"/>
        <scheme val="minor"/>
      </rPr>
      <t xml:space="preserve"> повинен відбуватися </t>
    </r>
    <r>
      <rPr>
        <b/>
        <i/>
        <sz val="14"/>
        <color rgb="FF008000"/>
        <rFont val="Calibri"/>
        <family val="2"/>
        <charset val="204"/>
        <scheme val="minor"/>
      </rPr>
      <t>автоматично.</t>
    </r>
  </si>
  <si>
    <t>№</t>
  </si>
  <si>
    <t>Номер авто</t>
  </si>
  <si>
    <t>м</t>
  </si>
  <si>
    <t>АПС</t>
  </si>
  <si>
    <t>ж</t>
  </si>
  <si>
    <t>Давидович</t>
  </si>
  <si>
    <t>Харитонович</t>
  </si>
  <si>
    <t>ОНК</t>
  </si>
  <si>
    <t>ОТД</t>
  </si>
  <si>
    <t>Пелагея</t>
  </si>
  <si>
    <t>ТКБ</t>
  </si>
  <si>
    <t>Михайлович</t>
  </si>
  <si>
    <t>Дата народження</t>
  </si>
  <si>
    <t>Оклад, €</t>
  </si>
  <si>
    <t>Місто</t>
  </si>
  <si>
    <t>Стать</t>
  </si>
  <si>
    <t>Прізвище</t>
  </si>
  <si>
    <t>Ім'я</t>
  </si>
  <si>
    <t>По батькові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</si>
  <si>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Видалити з таблиці записи що повторюються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</si>
  <si>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t>Дата</t>
  </si>
  <si>
    <t>ААА 408</t>
  </si>
  <si>
    <t>Сканер</t>
  </si>
  <si>
    <t>ААА 409</t>
  </si>
  <si>
    <t>ААА 410</t>
  </si>
  <si>
    <t>ААА 411</t>
  </si>
  <si>
    <t>ААА 412</t>
  </si>
  <si>
    <t>ААА 413</t>
  </si>
  <si>
    <t>ААА 414</t>
  </si>
  <si>
    <t>ААА 415</t>
  </si>
  <si>
    <t>ААА 416</t>
  </si>
  <si>
    <t>ААА 417</t>
  </si>
  <si>
    <t>ААА 418</t>
  </si>
  <si>
    <t>ААА 419</t>
  </si>
  <si>
    <t>ААА 420</t>
  </si>
  <si>
    <t>Принтер</t>
  </si>
  <si>
    <t>ААА 421</t>
  </si>
  <si>
    <t>ААА 422</t>
  </si>
  <si>
    <t>ААА 423</t>
  </si>
  <si>
    <t>ААА 424</t>
  </si>
  <si>
    <t>ААА 425</t>
  </si>
  <si>
    <t>ААА 426</t>
  </si>
  <si>
    <t>ААА 427</t>
  </si>
  <si>
    <t>ААА 428</t>
  </si>
  <si>
    <t>Факс-модем</t>
  </si>
  <si>
    <t>ААА 429</t>
  </si>
  <si>
    <t>ААА 430</t>
  </si>
  <si>
    <t>ААА 431</t>
  </si>
  <si>
    <t>ААА 432</t>
  </si>
  <si>
    <t>ААА 433</t>
  </si>
  <si>
    <t>ААА 434</t>
  </si>
  <si>
    <t>ААА 435</t>
  </si>
  <si>
    <t>ААА 436</t>
  </si>
  <si>
    <t>ААА 437</t>
  </si>
  <si>
    <t>ААА 438</t>
  </si>
  <si>
    <t>ААА 439</t>
  </si>
  <si>
    <t>ААА 440</t>
  </si>
  <si>
    <t>ААА 441</t>
  </si>
  <si>
    <t>ААА 442</t>
  </si>
  <si>
    <t>ААА 443</t>
  </si>
  <si>
    <t>ААА 444</t>
  </si>
  <si>
    <t>ААА 445</t>
  </si>
  <si>
    <t>ААА 446</t>
  </si>
  <si>
    <t>ААА 447</t>
  </si>
  <si>
    <t>ААА 448</t>
  </si>
  <si>
    <t>ААА 449</t>
  </si>
  <si>
    <t>ААА 450</t>
  </si>
  <si>
    <t>ААА 451</t>
  </si>
  <si>
    <t>ААА 452</t>
  </si>
  <si>
    <t>ААА 453</t>
  </si>
  <si>
    <t>ААА 454</t>
  </si>
  <si>
    <t>ААА 455</t>
  </si>
  <si>
    <t>ААА 456</t>
  </si>
  <si>
    <t>ААА 457</t>
  </si>
  <si>
    <t>ААА 458</t>
  </si>
  <si>
    <t>ААА 459</t>
  </si>
  <si>
    <t>ААА 460</t>
  </si>
  <si>
    <t>ААА 461</t>
  </si>
  <si>
    <t>ААА 462</t>
  </si>
  <si>
    <t>ААА 463</t>
  </si>
  <si>
    <t>ААА 464</t>
  </si>
  <si>
    <t>ААА 465</t>
  </si>
  <si>
    <t>ААА 466</t>
  </si>
  <si>
    <t>ААА 467</t>
  </si>
  <si>
    <t>ААА 468</t>
  </si>
  <si>
    <t>ААА 469</t>
  </si>
  <si>
    <t>ААА 470</t>
  </si>
  <si>
    <t>ААА 471</t>
  </si>
  <si>
    <t>ААА 472</t>
  </si>
  <si>
    <t>ААА 473</t>
  </si>
  <si>
    <t>ААА 474</t>
  </si>
  <si>
    <t>ААА 475</t>
  </si>
  <si>
    <t>ААА 476</t>
  </si>
  <si>
    <t>ААА 477</t>
  </si>
  <si>
    <t>ААА 478</t>
  </si>
  <si>
    <t>ААА 479</t>
  </si>
  <si>
    <t>ААА 480</t>
  </si>
  <si>
    <t>ААА 481</t>
  </si>
  <si>
    <t>ААА 482</t>
  </si>
  <si>
    <t>ААА 483</t>
  </si>
  <si>
    <t>ААА 484</t>
  </si>
  <si>
    <t>ААА 485</t>
  </si>
  <si>
    <t>ААА 486</t>
  </si>
  <si>
    <t>ААА 487</t>
  </si>
  <si>
    <t>ААА 488</t>
  </si>
  <si>
    <t>ААА 489</t>
  </si>
  <si>
    <t>ААА 490</t>
  </si>
  <si>
    <t>ААА 491</t>
  </si>
  <si>
    <t>ААА 492</t>
  </si>
  <si>
    <t>ААА 493</t>
  </si>
  <si>
    <t>ААА 494</t>
  </si>
  <si>
    <t>ААА 495</t>
  </si>
  <si>
    <t>ААА 496</t>
  </si>
  <si>
    <t>ААА 497</t>
  </si>
  <si>
    <t>ААА 498</t>
  </si>
  <si>
    <t>ААА 499</t>
  </si>
  <si>
    <t>ААА 500</t>
  </si>
  <si>
    <t>ААА 501</t>
  </si>
  <si>
    <t>ААА 502</t>
  </si>
  <si>
    <t>ААА 503</t>
  </si>
  <si>
    <t>ААА 504</t>
  </si>
  <si>
    <t>ААА 505</t>
  </si>
  <si>
    <t>ААА 506</t>
  </si>
  <si>
    <t>ААА 507</t>
  </si>
  <si>
    <t>ААА 508</t>
  </si>
  <si>
    <t>ААА 509</t>
  </si>
  <si>
    <t>ААА 510</t>
  </si>
  <si>
    <t>ААА 511</t>
  </si>
  <si>
    <t>ААА 512</t>
  </si>
  <si>
    <t>ААА 513</t>
  </si>
  <si>
    <t>ААА 514</t>
  </si>
  <si>
    <t>ААА 515</t>
  </si>
  <si>
    <t>ААА 516</t>
  </si>
  <si>
    <t>ААА 517</t>
  </si>
  <si>
    <t>ААА 518</t>
  </si>
  <si>
    <t>ААА 519</t>
  </si>
  <si>
    <t>ААА 520</t>
  </si>
  <si>
    <t>ААА 521</t>
  </si>
  <si>
    <t>ААА 522</t>
  </si>
  <si>
    <t>ААА 523</t>
  </si>
  <si>
    <t>ААА 524</t>
  </si>
  <si>
    <t>ААА 525</t>
  </si>
  <si>
    <t>ААА 526</t>
  </si>
  <si>
    <t>ААА 527</t>
  </si>
  <si>
    <t>ААА 528</t>
  </si>
  <si>
    <t>ААА 529</t>
  </si>
  <si>
    <t>ААА 530</t>
  </si>
  <si>
    <t>ААА 531</t>
  </si>
  <si>
    <t>ААА 532</t>
  </si>
  <si>
    <t>ААА 533</t>
  </si>
  <si>
    <t>ААА 534</t>
  </si>
  <si>
    <t>ААА 535</t>
  </si>
  <si>
    <t>ААА 536</t>
  </si>
  <si>
    <t>ААА 537</t>
  </si>
  <si>
    <t>ААА 538</t>
  </si>
  <si>
    <t>ААА 539</t>
  </si>
  <si>
    <t>ААА 540</t>
  </si>
  <si>
    <t>ААА 541</t>
  </si>
  <si>
    <t>ААА 542</t>
  </si>
  <si>
    <t>ААА 543</t>
  </si>
  <si>
    <t>ААА 544</t>
  </si>
  <si>
    <t>ААА 545</t>
  </si>
  <si>
    <t>ААА 546</t>
  </si>
  <si>
    <t>ААА 547</t>
  </si>
  <si>
    <t>ААА 548</t>
  </si>
  <si>
    <t>ААА 549</t>
  </si>
  <si>
    <t>ААА 550</t>
  </si>
  <si>
    <t>ААА 551</t>
  </si>
  <si>
    <t>ААА 552</t>
  </si>
  <si>
    <t>ААА 553</t>
  </si>
  <si>
    <t>ААА 554</t>
  </si>
  <si>
    <t>ААА 555</t>
  </si>
  <si>
    <t>ААА 556</t>
  </si>
  <si>
    <t>ААА 557</t>
  </si>
  <si>
    <t>ААА 558</t>
  </si>
  <si>
    <t>Код замовлення</t>
  </si>
  <si>
    <t>Найменування</t>
  </si>
  <si>
    <t>Кількість</t>
  </si>
  <si>
    <t>Сума, грн</t>
  </si>
  <si>
    <t>Клієнт</t>
  </si>
  <si>
    <t>ЗАТ "Вітрильник"</t>
  </si>
  <si>
    <t>ЗАТ "Перший"</t>
  </si>
  <si>
    <t>Ліцей "XXI століття"</t>
  </si>
  <si>
    <t>Ліцей "Покоління"</t>
  </si>
  <si>
    <t>ТОВ "Ларена"</t>
  </si>
  <si>
    <t>ТОВ "Рапсодія"</t>
  </si>
  <si>
    <t>ТОВ "Ларена +"</t>
  </si>
  <si>
    <t>АТ "Німа"</t>
  </si>
  <si>
    <t>АТ "Фаворит"</t>
  </si>
  <si>
    <t>Компанія "Втікач"</t>
  </si>
  <si>
    <t>Компанія "Молодець"</t>
  </si>
  <si>
    <t>Фірма "Нірвана"</t>
  </si>
  <si>
    <t>Фірма "РусКомБат"</t>
  </si>
  <si>
    <r>
      <rPr>
        <i/>
        <sz val="14"/>
        <color rgb="FF008000"/>
        <rFont val="Calibri"/>
        <family val="2"/>
        <charset val="204"/>
        <scheme val="minor"/>
      </rPr>
      <t xml:space="preserve">повторення по стовпцю </t>
    </r>
    <r>
      <rPr>
        <b/>
        <i/>
        <sz val="14"/>
        <color rgb="FF008000"/>
        <rFont val="Calibri"/>
        <family val="2"/>
        <charset val="204"/>
        <scheme val="minor"/>
      </rPr>
      <t>Код Замовлення.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</si>
  <si>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>Видалити з таблиці записи що повторюються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</si>
  <si>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t>Виробник</t>
  </si>
  <si>
    <t>Ціна
за од.</t>
  </si>
  <si>
    <t>Кількість, од.</t>
  </si>
  <si>
    <t>Брак, од.</t>
  </si>
  <si>
    <t>Вартість партії</t>
  </si>
  <si>
    <t>Вартість браку</t>
  </si>
  <si>
    <t>День поставки</t>
  </si>
  <si>
    <t>Приймальник</t>
  </si>
  <si>
    <t>Піч СВЧ</t>
  </si>
  <si>
    <t>Goldika</t>
  </si>
  <si>
    <t>Смак компані</t>
  </si>
  <si>
    <t>М'ясорубка</t>
  </si>
  <si>
    <t>Panasonika</t>
  </si>
  <si>
    <t>Легкість буття</t>
  </si>
  <si>
    <t>Міксер</t>
  </si>
  <si>
    <t>Tefalka</t>
  </si>
  <si>
    <t>Биттехсіла</t>
  </si>
  <si>
    <t>Kenwoodik</t>
  </si>
  <si>
    <t>Пароварка</t>
  </si>
  <si>
    <t>Тостер</t>
  </si>
  <si>
    <t>Boschik</t>
  </si>
  <si>
    <t>Ok &amp; ko</t>
  </si>
  <si>
    <t>Соковижималка</t>
  </si>
  <si>
    <t>Braunok</t>
  </si>
  <si>
    <t>Delonghik</t>
  </si>
  <si>
    <t>Moulinexik</t>
  </si>
  <si>
    <t>Std лідер</t>
  </si>
  <si>
    <t>Тд і компані</t>
  </si>
  <si>
    <t>Кавоварка</t>
  </si>
  <si>
    <t>Philipka</t>
  </si>
  <si>
    <t>Кавомолка</t>
  </si>
  <si>
    <t>Кухонний комбайн</t>
  </si>
  <si>
    <t>Samsuni</t>
  </si>
  <si>
    <t>Чайник</t>
  </si>
  <si>
    <t>Ваги</t>
  </si>
  <si>
    <t>Sharpik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</si>
  <si>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Вставити роздільники для таких категорій:</t>
    </r>
  </si>
  <si>
    <t xml:space="preserve"> - Найменування;</t>
  </si>
  <si>
    <t xml:space="preserve"> - Виробник;</t>
  </si>
  <si>
    <t xml:space="preserve"> - Постачальник;</t>
  </si>
  <si>
    <t xml:space="preserve"> - Приймальник.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</si>
  <si>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Видалити з таблиці записи що повторюються, дані вихідної таблиці зберегти.</t>
    </r>
  </si>
  <si>
    <t>принтер</t>
  </si>
  <si>
    <t>факс</t>
  </si>
  <si>
    <t>ксерокс</t>
  </si>
  <si>
    <t>модем</t>
  </si>
  <si>
    <t>Масква</t>
  </si>
  <si>
    <t>Сума</t>
  </si>
  <si>
    <t>Покупець</t>
  </si>
  <si>
    <t>комп'ютер</t>
  </si>
  <si>
    <t>Київ</t>
  </si>
  <si>
    <t>Львів</t>
  </si>
  <si>
    <t>Дніпро</t>
  </si>
  <si>
    <t>АТ "Інтерсофт"</t>
  </si>
  <si>
    <t>Фірма "Консалтинг"</t>
  </si>
  <si>
    <t>Туристична фірма "Євротур"</t>
  </si>
  <si>
    <t>Фірма "Трансекспорт"</t>
  </si>
  <si>
    <t>Банк "Развиток"</t>
  </si>
  <si>
    <t>АТ "Світанок"</t>
  </si>
  <si>
    <t>АТ "Промекспорт"</t>
  </si>
  <si>
    <t>Фірма "R-Master"</t>
  </si>
  <si>
    <t>Фірма "Консалтінг"</t>
  </si>
  <si>
    <t>Фірма "Промекспорт"</t>
  </si>
  <si>
    <t>Призвище</t>
  </si>
  <si>
    <t>Оклад, грн</t>
  </si>
  <si>
    <t>Ростиславович</t>
  </si>
  <si>
    <t>Аврамович</t>
  </si>
  <si>
    <t>Самойлович</t>
  </si>
  <si>
    <t>Сидорович</t>
  </si>
  <si>
    <t>Лук'янов</t>
  </si>
  <si>
    <t>Єлисей</t>
  </si>
  <si>
    <t>Настасья</t>
  </si>
  <si>
    <t>Леонтій</t>
  </si>
  <si>
    <t>Калліст</t>
  </si>
  <si>
    <t>Меркуріевіч</t>
  </si>
  <si>
    <t>Арефьевіч</t>
  </si>
  <si>
    <t>Сологубова</t>
  </si>
  <si>
    <t>Маркела</t>
  </si>
  <si>
    <t>Прокопівна</t>
  </si>
  <si>
    <t>Дурново</t>
  </si>
  <si>
    <t>Авеліна</t>
  </si>
  <si>
    <t>Данилівна</t>
  </si>
  <si>
    <t>Вердеревський</t>
  </si>
  <si>
    <t>Ангеліка</t>
  </si>
  <si>
    <t>Святославівна</t>
  </si>
  <si>
    <t>Гавренева</t>
  </si>
  <si>
    <t>Гортензія</t>
  </si>
  <si>
    <t>Яновна</t>
  </si>
  <si>
    <t>Васьковская</t>
  </si>
  <si>
    <t>Таїсія</t>
  </si>
  <si>
    <t>Каллістратовна</t>
  </si>
  <si>
    <t>Карачинская</t>
  </si>
  <si>
    <t>Гертруда</t>
  </si>
  <si>
    <t>Мокіевна</t>
  </si>
  <si>
    <t>Шпаковская</t>
  </si>
  <si>
    <t>Жанна</t>
  </si>
  <si>
    <t>Іллівна</t>
  </si>
  <si>
    <t>Цвирко</t>
  </si>
  <si>
    <t>Сільвія</t>
  </si>
  <si>
    <t>Крістіановна</t>
  </si>
  <si>
    <t>Бізеева</t>
  </si>
  <si>
    <t>Маркіяна</t>
  </si>
  <si>
    <t>Абросімовна</t>
  </si>
  <si>
    <t>Віолетта</t>
  </si>
  <si>
    <t>Іерофеевна</t>
  </si>
  <si>
    <t>Тяпкіна</t>
  </si>
  <si>
    <t>Текле</t>
  </si>
  <si>
    <t>Хомівна</t>
  </si>
  <si>
    <t>Ареф'єва</t>
  </si>
  <si>
    <t>Іоланта</t>
  </si>
  <si>
    <t>Маврикиевна</t>
  </si>
  <si>
    <t>Вадовського</t>
  </si>
  <si>
    <t>Таміла</t>
  </si>
  <si>
    <t>Володимирівна</t>
  </si>
  <si>
    <t>Чечот</t>
  </si>
  <si>
    <t>Рахіль</t>
  </si>
  <si>
    <t>Аксентіевна</t>
  </si>
  <si>
    <t>Балкашинов</t>
  </si>
  <si>
    <t>Палагея</t>
  </si>
  <si>
    <t>Лазарівна</t>
  </si>
  <si>
    <t>Чарниш</t>
  </si>
  <si>
    <t>Меланія</t>
  </si>
  <si>
    <t>Памфіловна</t>
  </si>
  <si>
    <t>Восьянова</t>
  </si>
  <si>
    <t>Карина</t>
  </si>
  <si>
    <t>Марленівна</t>
  </si>
  <si>
    <t>Казарінова</t>
  </si>
  <si>
    <t>Мстислава</t>
  </si>
  <si>
    <t>В'ячеславівна</t>
  </si>
  <si>
    <t>Толбугіна</t>
  </si>
  <si>
    <t>Клеопатра</t>
  </si>
  <si>
    <t>Еразмівна</t>
  </si>
  <si>
    <t>Стремоухова</t>
  </si>
  <si>
    <t>Ісидора</t>
  </si>
  <si>
    <t>Августівна</t>
  </si>
  <si>
    <t>Белінська</t>
  </si>
  <si>
    <t>Ілона</t>
  </si>
  <si>
    <t>Адамівна</t>
  </si>
  <si>
    <t>Гладишева</t>
  </si>
  <si>
    <t>серпня</t>
  </si>
  <si>
    <t>Еміліановна</t>
  </si>
  <si>
    <t>Ізабелла</t>
  </si>
  <si>
    <t>Герасимівна</t>
  </si>
  <si>
    <t>Кобякова</t>
  </si>
  <si>
    <t>Ніка</t>
  </si>
  <si>
    <t>Владиленівна</t>
  </si>
  <si>
    <t>Харитина</t>
  </si>
  <si>
    <t>Савватьевна</t>
  </si>
  <si>
    <t>Баклановський</t>
  </si>
  <si>
    <t>Козакова</t>
  </si>
  <si>
    <t>Аверченко</t>
  </si>
  <si>
    <t>Назарій</t>
  </si>
  <si>
    <t>Рафаїлович</t>
  </si>
  <si>
    <t>Бородкін</t>
  </si>
  <si>
    <t>Гапон</t>
  </si>
  <si>
    <t>Мануйлович</t>
  </si>
  <si>
    <t>Городецький</t>
  </si>
  <si>
    <t>Руфін</t>
  </si>
  <si>
    <t>Харитонов</t>
  </si>
  <si>
    <t>Никанор</t>
  </si>
  <si>
    <t>Адріанович</t>
  </si>
  <si>
    <t>Іпатов</t>
  </si>
  <si>
    <t>Крістіан</t>
  </si>
  <si>
    <t>Опанасович</t>
  </si>
  <si>
    <t>Кологривов</t>
  </si>
  <si>
    <t>Марьевіч</t>
  </si>
  <si>
    <t>Гагарін</t>
  </si>
  <si>
    <t>Панфил</t>
  </si>
  <si>
    <t>Артамоновіча</t>
  </si>
  <si>
    <t>Юр'ївський</t>
  </si>
  <si>
    <t>Доримедонт</t>
  </si>
  <si>
    <t>Соломонович</t>
  </si>
  <si>
    <t>Вадбольского</t>
  </si>
  <si>
    <t>Павич</t>
  </si>
  <si>
    <t>Маркович</t>
  </si>
  <si>
    <t>Ашітков</t>
  </si>
  <si>
    <t>Огій</t>
  </si>
  <si>
    <t>Аврааміевіч</t>
  </si>
  <si>
    <t>Аршінскій</t>
  </si>
  <si>
    <t>Терентій</t>
  </si>
  <si>
    <t>Кирилович</t>
  </si>
  <si>
    <t>Горбов</t>
  </si>
  <si>
    <t>Марк</t>
  </si>
  <si>
    <t>Горновський</t>
  </si>
  <si>
    <t>Пімен</t>
  </si>
  <si>
    <t>Феофанович</t>
  </si>
  <si>
    <t>Бариков</t>
  </si>
  <si>
    <t>Анфим</t>
  </si>
  <si>
    <t>Агніевіч</t>
  </si>
  <si>
    <t>Воніфатій</t>
  </si>
  <si>
    <t>Климович</t>
  </si>
  <si>
    <t>Савін</t>
  </si>
  <si>
    <t>Ксенофонт</t>
  </si>
  <si>
    <t>Адамович</t>
  </si>
  <si>
    <t>Аміреджібі</t>
  </si>
  <si>
    <t>Домн</t>
  </si>
  <si>
    <t>Фокич</t>
  </si>
  <si>
    <t>Архипов</t>
  </si>
  <si>
    <t>Мамант</t>
  </si>
  <si>
    <t>Шредер</t>
  </si>
  <si>
    <t>Кирило</t>
  </si>
  <si>
    <t>Євстахійович</t>
  </si>
  <si>
    <t>Угорський</t>
  </si>
  <si>
    <t>Артур</t>
  </si>
  <si>
    <t>Нефёдовіч</t>
  </si>
  <si>
    <t>Руликовський</t>
  </si>
  <si>
    <t>Ніказій</t>
  </si>
  <si>
    <t>Альфредович</t>
  </si>
  <si>
    <t>Вакульскій</t>
  </si>
  <si>
    <t>Адріяновіч</t>
  </si>
  <si>
    <t>Литвинов</t>
  </si>
  <si>
    <t>Флавіан</t>
  </si>
  <si>
    <t>Чертков</t>
  </si>
  <si>
    <t>Приск</t>
  </si>
  <si>
    <t>Далматовіч</t>
  </si>
  <si>
    <t>Лубяновскій</t>
  </si>
  <si>
    <t>Аристарх</t>
  </si>
  <si>
    <t>Болгарський</t>
  </si>
  <si>
    <t>Паліцина</t>
  </si>
  <si>
    <t>ч</t>
  </si>
  <si>
    <t>Одеса</t>
  </si>
  <si>
    <t>Запоріжжя</t>
  </si>
  <si>
    <t>Суми</t>
  </si>
  <si>
    <t>Кропівницький</t>
  </si>
  <si>
    <t>Чернігів</t>
  </si>
  <si>
    <r>
      <t xml:space="preserve">по </t>
    </r>
    <r>
      <rPr>
        <b/>
        <i/>
        <sz val="14"/>
        <color rgb="FF008000"/>
        <rFont val="Calibri"/>
        <family val="2"/>
        <charset val="204"/>
        <scheme val="minor"/>
      </rPr>
      <t>кожному покупцю окремо сумму і кількість покупок.</t>
    </r>
  </si>
  <si>
    <t>Бегичев П. А.</t>
  </si>
  <si>
    <t>Бурунов З. Т.</t>
  </si>
  <si>
    <t>Веселов С. Г.</t>
  </si>
  <si>
    <t>Пазухин А. М.</t>
  </si>
  <si>
    <t>Татев Х. Е.</t>
  </si>
  <si>
    <t>Шумахер Е. В.</t>
  </si>
  <si>
    <t>Мануйловна</t>
  </si>
  <si>
    <t>Бастанова С. В.</t>
  </si>
  <si>
    <t>Бойко А. М.</t>
  </si>
  <si>
    <t>Гутаковская С. Ф.</t>
  </si>
  <si>
    <t>Еропкина Л. Ф.</t>
  </si>
  <si>
    <t>Кусакова Я. Х.</t>
  </si>
  <si>
    <t>Юковская О. П.</t>
  </si>
  <si>
    <t>Мережевий відділ</t>
  </si>
  <si>
    <t>Відділ інформації</t>
  </si>
  <si>
    <t>Транспортний відділ</t>
  </si>
  <si>
    <t>Митний відділ</t>
  </si>
  <si>
    <t>Максимович</t>
  </si>
  <si>
    <t>Святополк</t>
  </si>
  <si>
    <t>Несторович</t>
  </si>
  <si>
    <t>Самсон</t>
  </si>
  <si>
    <t>Наумович</t>
  </si>
  <si>
    <t>Аракчеев</t>
  </si>
  <si>
    <t>Брячислав</t>
  </si>
  <si>
    <t>Свирид</t>
  </si>
  <si>
    <t>Гай</t>
  </si>
  <si>
    <t>Харламович</t>
  </si>
  <si>
    <t>Альбертович</t>
  </si>
  <si>
    <t>Щербатов</t>
  </si>
  <si>
    <t>Аарон</t>
  </si>
  <si>
    <t>Шевчук</t>
  </si>
  <si>
    <t>Вахрамей</t>
  </si>
  <si>
    <t>Гаврилович</t>
  </si>
  <si>
    <t>Щерба</t>
  </si>
  <si>
    <t>Кондрат</t>
  </si>
  <si>
    <t>Брехов</t>
  </si>
  <si>
    <t>Арес</t>
  </si>
  <si>
    <t>Пахомович</t>
  </si>
  <si>
    <t>Титов</t>
  </si>
  <si>
    <t>Фалалей</t>
  </si>
  <si>
    <t>Ян</t>
  </si>
  <si>
    <t>Назаревский</t>
  </si>
  <si>
    <t>Голуб</t>
  </si>
  <si>
    <t>Гофман</t>
  </si>
  <si>
    <t>Фролович</t>
  </si>
  <si>
    <t>Новаков</t>
  </si>
  <si>
    <t>Фотин</t>
  </si>
  <si>
    <t>Андронович</t>
  </si>
  <si>
    <t>Серафим</t>
  </si>
  <si>
    <t>Васьянова</t>
  </si>
  <si>
    <t>Лизунова</t>
  </si>
  <si>
    <t>Провна</t>
  </si>
  <si>
    <t>Белехова</t>
  </si>
  <si>
    <t>Лужина</t>
  </si>
  <si>
    <t>Ноканоровна</t>
  </si>
  <si>
    <t>Шишкова</t>
  </si>
  <si>
    <t>Романова</t>
  </si>
  <si>
    <t>Досифея</t>
  </si>
  <si>
    <t>Байчурова</t>
  </si>
  <si>
    <t>Рада</t>
  </si>
  <si>
    <t>Ульяновна</t>
  </si>
  <si>
    <t>Маслова</t>
  </si>
  <si>
    <t>Василенко</t>
  </si>
  <si>
    <t>Авраамовна</t>
  </si>
  <si>
    <t>Костомарова</t>
  </si>
  <si>
    <t>Горохова</t>
  </si>
  <si>
    <t>Всеславовна</t>
  </si>
  <si>
    <t>Влада</t>
  </si>
  <si>
    <t>Самойловна</t>
  </si>
  <si>
    <t>Шталь</t>
  </si>
  <si>
    <t>Матрона</t>
  </si>
  <si>
    <t>Ренатовна</t>
  </si>
  <si>
    <t>Волохова</t>
  </si>
  <si>
    <t>Протасьевна</t>
  </si>
  <si>
    <t>Корсак</t>
  </si>
  <si>
    <t>Володковская</t>
  </si>
  <si>
    <t>Аглая</t>
  </si>
  <si>
    <t>Гербертовна</t>
  </si>
  <si>
    <t>Смольянинова</t>
  </si>
  <si>
    <t>Василиса</t>
  </si>
  <si>
    <t>Іванов</t>
  </si>
  <si>
    <t>Юхимович</t>
  </si>
  <si>
    <t>горностай</t>
  </si>
  <si>
    <t>Юр'єв</t>
  </si>
  <si>
    <t>Вигановскій</t>
  </si>
  <si>
    <t>Гордієнко</t>
  </si>
  <si>
    <t>Родіонов</t>
  </si>
  <si>
    <t>Бешенцев</t>
  </si>
  <si>
    <t>Костін</t>
  </si>
  <si>
    <t>Маковський</t>
  </si>
  <si>
    <t>Ляпішев</t>
  </si>
  <si>
    <t>Репнінскій</t>
  </si>
  <si>
    <t>Мержєєвський</t>
  </si>
  <si>
    <t>Арбен</t>
  </si>
  <si>
    <t>Висковатий</t>
  </si>
  <si>
    <t>Бобинін</t>
  </si>
  <si>
    <t>Таптиков</t>
  </si>
  <si>
    <t>Ланська</t>
  </si>
  <si>
    <t>Дубровіна</t>
  </si>
  <si>
    <t>Лук'янова</t>
  </si>
  <si>
    <t>Заболоцька</t>
  </si>
  <si>
    <t>Червінська</t>
  </si>
  <si>
    <t>Шоріна</t>
  </si>
  <si>
    <t>Ветчініна</t>
  </si>
  <si>
    <t>Хвощінська</t>
  </si>
  <si>
    <t>Юхим</t>
  </si>
  <si>
    <t>Юрій</t>
  </si>
  <si>
    <t>Фавій</t>
  </si>
  <si>
    <t>Селіверстов</t>
  </si>
  <si>
    <t>Володимир</t>
  </si>
  <si>
    <t>Мар'ян</t>
  </si>
  <si>
    <t>Григорій</t>
  </si>
  <si>
    <t>Прокопій</t>
  </si>
  <si>
    <t>Дем'ян</t>
  </si>
  <si>
    <t>Іван</t>
  </si>
  <si>
    <t>Аріса</t>
  </si>
  <si>
    <t>Євтихія</t>
  </si>
  <si>
    <t>Кікілія</t>
  </si>
  <si>
    <t>Ельвіра</t>
  </si>
  <si>
    <t>Вікторина</t>
  </si>
  <si>
    <t>Іоанникія</t>
  </si>
  <si>
    <t>Генрієтта</t>
  </si>
  <si>
    <t>Аріадна</t>
  </si>
  <si>
    <t>Анжеліна</t>
  </si>
  <si>
    <t>Єва</t>
  </si>
  <si>
    <t>Арсенія</t>
  </si>
  <si>
    <t>Лукія</t>
  </si>
  <si>
    <t>Валерія</t>
  </si>
  <si>
    <t>Домніна</t>
  </si>
  <si>
    <t>Руфіна</t>
  </si>
  <si>
    <t>Саломія</t>
  </si>
  <si>
    <t>Полікарпович</t>
  </si>
  <si>
    <t>Прокловіч</t>
  </si>
  <si>
    <t>Віленович</t>
  </si>
  <si>
    <t>Люціевіч</t>
  </si>
  <si>
    <t>Іустіновіч</t>
  </si>
  <si>
    <t>Станіславович</t>
  </si>
  <si>
    <t>Арсенійович</t>
  </si>
  <si>
    <t>Мартіміановіч</t>
  </si>
  <si>
    <t>Єлизаровича</t>
  </si>
  <si>
    <t>Мілославовіч</t>
  </si>
  <si>
    <t>Євстигнійович</t>
  </si>
  <si>
    <t>Артемійовича</t>
  </si>
  <si>
    <t>Едуардівна</t>
  </si>
  <si>
    <t>Василівна</t>
  </si>
  <si>
    <t>Владленівна</t>
  </si>
  <si>
    <t>Братіславовна</t>
  </si>
  <si>
    <t>Леонтіївна</t>
  </si>
  <si>
    <t>Филимонівна</t>
  </si>
  <si>
    <t>Титівна</t>
  </si>
  <si>
    <t>Харлампіївна</t>
  </si>
  <si>
    <t>Тихонівна</t>
  </si>
  <si>
    <t>Іракліївна</t>
  </si>
  <si>
    <t>Іпатовна</t>
  </si>
  <si>
    <t>Мінічна</t>
  </si>
  <si>
    <t>Емільевна</t>
  </si>
  <si>
    <t>Самуілівна</t>
  </si>
  <si>
    <t>Полтава</t>
  </si>
  <si>
    <t>АЕ 7706 ГА</t>
  </si>
  <si>
    <t>СВ 3904 РП</t>
  </si>
  <si>
    <t>СВ 6020 АЖ</t>
  </si>
  <si>
    <t>ВІ 3888 ХД</t>
  </si>
  <si>
    <t>ВІ 5499 РС</t>
  </si>
  <si>
    <t>АЕ 3095 ГЯ</t>
  </si>
  <si>
    <t>АА 902 ЯР</t>
  </si>
  <si>
    <t>АА 1420 ЕВ</t>
  </si>
  <si>
    <t>АЕ 7674 ЯД</t>
  </si>
  <si>
    <t>СВ 3191 БТ</t>
  </si>
  <si>
    <t>АА 7605 РГ</t>
  </si>
  <si>
    <t>АА 7589 СД</t>
  </si>
  <si>
    <t>СВ 3991 АБ</t>
  </si>
  <si>
    <t>ВС 8472 ЖЯ</t>
  </si>
  <si>
    <t>ВС 8892 ХВ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</si>
  <si>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За допомоги умовного флорматування виділити</t>
    </r>
  </si>
  <si>
    <t>ВС 1531 БЖ</t>
  </si>
  <si>
    <t>Монитор</t>
  </si>
  <si>
    <t>Клавиатура</t>
  </si>
  <si>
    <t>Мышь</t>
  </si>
  <si>
    <t>Копировальный аппарат</t>
  </si>
  <si>
    <t>NoteBook</t>
  </si>
  <si>
    <t>Баженіна А. С.</t>
  </si>
  <si>
    <t>Березнікова С. К.</t>
  </si>
  <si>
    <t>Боровітінова А. А.</t>
  </si>
  <si>
    <t>Брянчанінов З. Ф.</t>
  </si>
  <si>
    <t>Биков Е. Е.</t>
  </si>
  <si>
    <t>Бичінскій А. І.</t>
  </si>
  <si>
    <t>Ветошнікова П. Л.</t>
  </si>
  <si>
    <t>Вороніна А. Е.</t>
  </si>
  <si>
    <t>Галафєєв М. Л.</t>
  </si>
  <si>
    <t>Головкін П. М.</t>
  </si>
  <si>
    <t>Григор'єв Ф. І.</t>
  </si>
  <si>
    <t>Карачинский Х. І.</t>
  </si>
  <si>
    <t>Киреевский І. Е.</t>
  </si>
  <si>
    <t>Куроєдов С. А.</t>
  </si>
  <si>
    <t>Любавський А. Е.</t>
  </si>
  <si>
    <t>Матюшкін І. Р.</t>
  </si>
  <si>
    <t>Писарєва Л. Г.</t>
  </si>
  <si>
    <t>Пусторослев І. А.</t>
  </si>
  <si>
    <t>Соколінськая П. М.</t>
  </si>
  <si>
    <t>Суковкіна Л. А.</t>
  </si>
  <si>
    <t>Шевельов М. Г.</t>
  </si>
  <si>
    <t>Якушкіна В. П.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</si>
  <si>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Підвести підсумки по </t>
    </r>
    <r>
      <rPr>
        <b/>
        <i/>
        <sz val="14"/>
        <color rgb="FF008000"/>
        <rFont val="Calibri"/>
        <family val="2"/>
        <charset val="204"/>
        <scheme val="minor"/>
      </rPr>
      <t>кожному постачальнику</t>
    </r>
    <r>
      <rPr>
        <i/>
        <sz val="14"/>
        <color rgb="FF008000"/>
        <rFont val="Calibri"/>
        <family val="2"/>
        <charset val="204"/>
        <scheme val="minor"/>
      </rPr>
      <t>: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</si>
  <si>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 суми</t>
    </r>
    <r>
      <rPr>
        <i/>
        <sz val="14"/>
        <color rgb="FF008000"/>
        <rFont val="Calibri"/>
        <family val="2"/>
        <charset val="204"/>
        <scheme val="minor"/>
      </rPr>
      <t xml:space="preserve"> витрат, виручки, прибутку;</t>
    </r>
  </si>
  <si>
    <t>Виручка</t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</si>
  <si>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середні значення</t>
    </r>
    <r>
      <rPr>
        <i/>
        <sz val="14"/>
        <color rgb="FF008000"/>
        <rFont val="Calibri"/>
        <family val="2"/>
        <charset val="204"/>
        <scheme val="minor"/>
      </rPr>
      <t xml:space="preserve"> обсягу партії і прибутку.</t>
    </r>
  </si>
  <si>
    <r>
      <t xml:space="preserve">Зразок відповіді можна побачити на Аркуші - </t>
    </r>
    <r>
      <rPr>
        <b/>
        <sz val="14"/>
        <color rgb="FF008000"/>
        <rFont val="Calibri"/>
        <family val="2"/>
        <charset val="204"/>
        <scheme val="minor"/>
      </rPr>
      <t>"№10В"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</si>
  <si>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Показ даних у таблиці організувати за рівнем </t>
    </r>
    <r>
      <rPr>
        <b/>
        <i/>
        <sz val="14"/>
        <color rgb="FF008000"/>
        <rFont val="Calibri"/>
        <family val="2"/>
        <charset val="204"/>
        <scheme val="minor"/>
      </rPr>
      <t xml:space="preserve">3. </t>
    </r>
  </si>
  <si>
    <t>Оленка</t>
  </si>
  <si>
    <t>Вершник</t>
  </si>
  <si>
    <t>Гвардійський</t>
  </si>
  <si>
    <t>Дитячий</t>
  </si>
  <si>
    <t>Іван та Марія</t>
  </si>
  <si>
    <t>Полярна експедиція</t>
  </si>
  <si>
    <t>Екстра з капучино</t>
  </si>
  <si>
    <t>Натхнення</t>
  </si>
  <si>
    <t>Кузя</t>
  </si>
  <si>
    <t>Мрія</t>
  </si>
  <si>
    <t>Ведмедик</t>
  </si>
  <si>
    <t>Вершковий</t>
  </si>
  <si>
    <t>Екстра вершковий</t>
  </si>
  <si>
    <t>Осінній вальс</t>
  </si>
  <si>
    <t>Кількість поставок</t>
  </si>
  <si>
    <r>
      <t xml:space="preserve">Вихідний діапазон даних розташувати починаючи з клітинки </t>
    </r>
    <r>
      <rPr>
        <b/>
        <i/>
        <sz val="14"/>
        <color rgb="FF008000"/>
        <rFont val="Calibri"/>
        <family val="2"/>
        <charset val="204"/>
        <scheme val="minor"/>
      </rPr>
      <t>В2.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</si>
  <si>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За допомоги </t>
    </r>
    <r>
      <rPr>
        <b/>
        <i/>
        <sz val="14"/>
        <color rgb="FF008000"/>
        <rFont val="Calibri"/>
        <family val="2"/>
        <charset val="204"/>
        <scheme val="minor"/>
      </rPr>
      <t xml:space="preserve">Consolidate </t>
    </r>
    <r>
      <rPr>
        <i/>
        <sz val="14"/>
        <color rgb="FF008000"/>
        <rFont val="Calibri"/>
        <family val="2"/>
        <charset val="204"/>
        <scheme val="minor"/>
      </rPr>
      <t>(</t>
    </r>
    <r>
      <rPr>
        <b/>
        <i/>
        <sz val="14"/>
        <color rgb="FF008000"/>
        <rFont val="Calibri"/>
        <family val="2"/>
        <charset val="204"/>
        <scheme val="minor"/>
      </rPr>
      <t>Консолідації</t>
    </r>
    <r>
      <rPr>
        <i/>
        <sz val="14"/>
        <color rgb="FF008000"/>
        <rFont val="Calibri"/>
        <family val="2"/>
        <charset val="204"/>
        <scheme val="minor"/>
      </rPr>
      <t xml:space="preserve">), на основі даних, розташованих </t>
    </r>
  </si>
  <si>
    <t>найменування річний обсяг продажів та загальну кількість поставок.</t>
  </si>
  <si>
    <t>Витрати, грн</t>
  </si>
  <si>
    <t>Виручка, грн</t>
  </si>
  <si>
    <t>Прибуток, грн</t>
  </si>
  <si>
    <t>Обсяг партії, кг</t>
  </si>
  <si>
    <r>
      <t xml:space="preserve">за </t>
    </r>
    <r>
      <rPr>
        <b/>
        <i/>
        <sz val="14"/>
        <color rgb="FF008000"/>
        <rFont val="Calibri"/>
        <family val="2"/>
        <charset val="204"/>
        <scheme val="minor"/>
      </rPr>
      <t>обсягом партії, витрат, виручки та прибутку.</t>
    </r>
  </si>
  <si>
    <r>
      <t>у таблиці,</t>
    </r>
    <r>
      <rPr>
        <b/>
        <i/>
        <sz val="14"/>
        <color rgb="FF008000"/>
        <rFont val="Calibri"/>
        <family val="2"/>
        <charset val="204"/>
        <scheme val="minor"/>
      </rPr>
      <t xml:space="preserve"> розрахувати  підсумки</t>
    </r>
    <r>
      <rPr>
        <i/>
        <sz val="14"/>
        <color rgb="FF008000"/>
        <rFont val="Calibri"/>
        <family val="2"/>
        <charset val="204"/>
        <scheme val="minor"/>
      </rPr>
      <t xml:space="preserve"> для кожного найменування</t>
    </r>
  </si>
  <si>
    <r>
      <t xml:space="preserve">Вихідний діапазон даних розташувати починаючи з клітинки </t>
    </r>
    <r>
      <rPr>
        <b/>
        <i/>
        <sz val="14"/>
        <color rgb="FF008000"/>
        <rFont val="Calibri"/>
        <family val="2"/>
        <charset val="204"/>
        <scheme val="minor"/>
      </rPr>
      <t>J8.</t>
    </r>
  </si>
  <si>
    <t>набір "Жираф"</t>
  </si>
  <si>
    <t>набір "Зайчик"</t>
  </si>
  <si>
    <t>набір "Лисички"</t>
  </si>
  <si>
    <t>набір "Левеня"</t>
  </si>
  <si>
    <t>набір "Ведмедик"</t>
  </si>
  <si>
    <t>набір "Ослик"</t>
  </si>
  <si>
    <t>набір "Слоник"</t>
  </si>
  <si>
    <t>набір "Кошеня"</t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</si>
  <si>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Увімкнути строку </t>
    </r>
    <r>
      <rPr>
        <b/>
        <i/>
        <sz val="14"/>
        <color rgb="FF008000"/>
        <rFont val="Calibri"/>
        <family val="2"/>
        <charset val="204"/>
        <scheme val="minor"/>
      </rPr>
      <t>Ітогів</t>
    </r>
    <r>
      <rPr>
        <i/>
        <sz val="14"/>
        <color rgb="FF008000"/>
        <rFont val="Calibri"/>
        <family val="2"/>
        <charset val="204"/>
        <scheme val="minor"/>
      </rPr>
      <t xml:space="preserve"> (</t>
    </r>
    <r>
      <rPr>
        <b/>
        <i/>
        <sz val="14"/>
        <color rgb="FF008000"/>
        <rFont val="Calibri"/>
        <family val="2"/>
        <charset val="204"/>
        <scheme val="minor"/>
      </rPr>
      <t>Total Row</t>
    </r>
    <r>
      <rPr>
        <i/>
        <sz val="14"/>
        <color rgb="FF008000"/>
        <rFont val="Calibri"/>
        <family val="2"/>
        <charset val="204"/>
        <scheme val="minor"/>
      </rPr>
      <t>), та розрахувати:</t>
    </r>
  </si>
  <si>
    <t>Відділ продажів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</si>
  <si>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 -</t>
    </r>
    <r>
      <rPr>
        <i/>
        <sz val="14"/>
        <color rgb="FF008000"/>
        <rFont val="Calibri"/>
        <family val="2"/>
        <charset val="204"/>
        <scheme val="minor"/>
      </rPr>
      <t xml:space="preserve"> додатково відпрацьовано: </t>
    </r>
    <r>
      <rPr>
        <b/>
        <i/>
        <sz val="14"/>
        <color rgb="FF008000"/>
        <rFont val="Calibri"/>
        <family val="2"/>
        <charset val="204"/>
        <scheme val="minor"/>
      </rPr>
      <t>1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</si>
  <si>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t xml:space="preserve">по </t>
    </r>
    <r>
      <rPr>
        <b/>
        <i/>
        <sz val="14"/>
        <color rgb="FF008000"/>
        <rFont val="Calibri"/>
        <family val="2"/>
        <charset val="204"/>
        <scheme val="minor"/>
      </rPr>
      <t>кожному відділу окремо середній оклад.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</si>
  <si>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Провести багаторівневий підсумок, спочатку по </t>
    </r>
    <r>
      <rPr>
        <b/>
        <i/>
        <sz val="14"/>
        <color rgb="FF008000"/>
        <rFont val="Calibri"/>
        <family val="2"/>
        <charset val="204"/>
        <scheme val="minor"/>
      </rPr>
      <t>Найменуванню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товара</t>
    </r>
    <r>
      <rPr>
        <i/>
        <sz val="14"/>
        <color rgb="FF008000"/>
        <rFont val="Calibri"/>
        <family val="2"/>
        <charset val="204"/>
        <scheme val="minor"/>
      </rPr>
      <t xml:space="preserve"> за</t>
    </r>
    <r>
      <rPr>
        <b/>
        <i/>
        <sz val="14"/>
        <color rgb="FF008000"/>
        <rFont val="Calibri"/>
        <family val="2"/>
        <charset val="204"/>
        <scheme val="minor"/>
      </rPr>
      <t xml:space="preserve"> кількістю </t>
    </r>
    <r>
      <rPr>
        <i/>
        <sz val="14"/>
        <color rgb="FF008000"/>
        <rFont val="Calibri"/>
        <family val="2"/>
        <charset val="204"/>
        <scheme val="minor"/>
      </rPr>
      <t>і</t>
    </r>
    <r>
      <rPr>
        <b/>
        <i/>
        <sz val="14"/>
        <color rgb="FF008000"/>
        <rFont val="Calibri"/>
        <family val="2"/>
        <charset val="204"/>
        <scheme val="minor"/>
      </rPr>
      <t xml:space="preserve"> сумою вартості партії,</t>
    </r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</si>
  <si>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 xml:space="preserve">Убрати з усіх рядків слово </t>
    </r>
    <r>
      <rPr>
        <b/>
        <i/>
        <sz val="14"/>
        <color rgb="FF008000"/>
        <rFont val="Calibri"/>
        <family val="2"/>
        <charset val="204"/>
        <scheme val="minor"/>
      </rPr>
      <t>"Total".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</si>
  <si>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За допомоги </t>
    </r>
    <r>
      <rPr>
        <b/>
        <i/>
        <sz val="14"/>
        <color rgb="FF008000"/>
        <rFont val="Calibri"/>
        <family val="2"/>
        <charset val="204"/>
        <scheme val="minor"/>
      </rPr>
      <t>Subtotal</t>
    </r>
    <r>
      <rPr>
        <i/>
        <sz val="14"/>
        <color rgb="FF008000"/>
        <rFont val="Calibri"/>
        <family val="2"/>
        <charset val="204"/>
        <scheme val="minor"/>
      </rPr>
      <t xml:space="preserve"> (</t>
    </r>
    <r>
      <rPr>
        <b/>
        <i/>
        <sz val="14"/>
        <color rgb="FF008000"/>
        <rFont val="Calibri"/>
        <family val="2"/>
        <charset val="204"/>
        <scheme val="minor"/>
      </rPr>
      <t>Проміжні підсумки</t>
    </r>
    <r>
      <rPr>
        <i/>
        <sz val="14"/>
        <color rgb="FF008000"/>
        <rFont val="Calibri"/>
        <family val="2"/>
        <charset val="204"/>
        <scheme val="minor"/>
      </rPr>
      <t>), розрахувати</t>
    </r>
  </si>
  <si>
    <r>
      <rPr>
        <i/>
        <sz val="14"/>
        <color rgb="FF008000"/>
        <rFont val="Calibri"/>
        <family val="2"/>
        <charset val="204"/>
        <scheme val="minor"/>
      </rPr>
      <t>на аркушах</t>
    </r>
    <r>
      <rPr>
        <b/>
        <i/>
        <sz val="14"/>
        <color rgb="FF008000"/>
        <rFont val="Calibri"/>
        <family val="2"/>
        <charset val="204"/>
        <scheme val="minor"/>
      </rPr>
      <t xml:space="preserve"> №12.1К, №12.2К,№12.3К, №12.4К, </t>
    </r>
    <r>
      <rPr>
        <i/>
        <sz val="14"/>
        <color rgb="FF008000"/>
        <rFont val="Calibri"/>
        <family val="2"/>
        <charset val="204"/>
        <scheme val="minor"/>
      </rPr>
      <t>отримати для кожного</t>
    </r>
  </si>
  <si>
    <r>
      <rPr>
        <b/>
        <i/>
        <sz val="14"/>
        <color rgb="FF008000"/>
        <rFont val="Calibri"/>
        <family val="2"/>
        <charset val="204"/>
        <scheme val="minor"/>
      </rPr>
      <t>5.</t>
    </r>
    <r>
      <rPr>
        <i/>
        <sz val="14"/>
        <color rgb="FF008000"/>
        <rFont val="Calibri"/>
        <family val="2"/>
        <charset val="204"/>
        <scheme val="minor"/>
      </rPr>
      <t>Знайти загальну сумму прибутку відповідно для</t>
    </r>
  </si>
  <si>
    <r>
      <rPr>
        <b/>
        <i/>
        <sz val="14"/>
        <color rgb="FF008000"/>
        <rFont val="Calibri"/>
        <family val="2"/>
        <charset val="204"/>
        <scheme val="minor"/>
      </rPr>
      <t>4.</t>
    </r>
    <r>
      <rPr>
        <i/>
        <sz val="14"/>
        <color rgb="FF008000"/>
        <rFont val="Calibri"/>
        <family val="2"/>
        <charset val="204"/>
        <scheme val="minor"/>
      </rPr>
      <t xml:space="preserve">Замінити грошові знаки на відповідні.  </t>
    </r>
  </si>
  <si>
    <r>
      <rPr>
        <b/>
        <i/>
        <sz val="14"/>
        <color rgb="FF008000"/>
        <rFont val="Calibri"/>
        <family val="2"/>
        <charset val="204"/>
        <scheme val="minor"/>
      </rPr>
      <t>6. Відобразити</t>
    </r>
    <r>
      <rPr>
        <i/>
        <sz val="14"/>
        <color rgb="FF008000"/>
        <rFont val="Calibri"/>
        <family val="2"/>
        <charset val="204"/>
        <scheme val="minor"/>
      </rPr>
      <t xml:space="preserve"> дані тільки для товару </t>
    </r>
    <r>
      <rPr>
        <b/>
        <i/>
        <sz val="14"/>
        <color rgb="FF008000"/>
        <rFont val="Calibri"/>
        <family val="2"/>
        <charset val="204"/>
        <scheme val="minor"/>
      </rPr>
      <t>Снікерс. Перерахунок</t>
    </r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</si>
  <si>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дані з аркуша </t>
    </r>
    <r>
      <rPr>
        <b/>
        <i/>
        <sz val="14"/>
        <color rgb="FF008000"/>
        <rFont val="Calibri"/>
        <family val="2"/>
        <charset val="204"/>
        <scheme val="minor"/>
      </rPr>
      <t>"Курс валют"</t>
    </r>
  </si>
  <si>
    <t>перерахувати значення прибутку, відповідно у: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</si>
  <si>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Перетворити вихідний </t>
    </r>
    <r>
      <rPr>
        <b/>
        <i/>
        <sz val="14"/>
        <color rgb="FF008000"/>
        <rFont val="Calibri"/>
        <family val="2"/>
        <charset val="204"/>
        <scheme val="minor"/>
      </rPr>
      <t>діапазон у форматовану таблицю Excel.</t>
    </r>
  </si>
  <si>
    <r>
      <t>а потім визначити їх в</t>
    </r>
    <r>
      <rPr>
        <b/>
        <i/>
        <sz val="14"/>
        <color rgb="FF008000"/>
        <rFont val="Calibri"/>
        <family val="2"/>
        <charset val="204"/>
        <scheme val="minor"/>
      </rPr>
      <t xml:space="preserve"> середені товарів</t>
    </r>
    <r>
      <rPr>
        <i/>
        <sz val="14"/>
        <color rgb="FF008000"/>
        <rFont val="Calibri"/>
        <family val="2"/>
        <charset val="204"/>
        <scheme val="minor"/>
      </rPr>
      <t xml:space="preserve"> ще й по</t>
    </r>
    <r>
      <rPr>
        <b/>
        <i/>
        <sz val="14"/>
        <color rgb="FF008000"/>
        <rFont val="Calibri"/>
        <family val="2"/>
        <charset val="204"/>
        <scheme val="minor"/>
      </rPr>
      <t xml:space="preserve"> Виробникам </t>
    </r>
    <r>
      <rPr>
        <i/>
        <sz val="14"/>
        <color rgb="FF008000"/>
        <rFont val="Calibri"/>
        <family val="2"/>
        <charset val="204"/>
        <scheme val="minor"/>
      </rPr>
      <t>окремо.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</si>
</sst>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409]#,##0"/>
    <numFmt numFmtId="165" formatCode="[$-F800]dddd\,\ mmmm\ dd\,\ yyyy"/>
    <numFmt numFmtId="166" formatCode="#,##0_ ;\-#,##0\ 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Century Gothic"/>
      <family val="2"/>
      <charset val="204"/>
    </font>
    <font>
      <b/>
      <i/>
      <sz val="12"/>
      <color theme="1"/>
      <name val="Trebuchet MS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sz val="12"/>
      <color theme="1"/>
      <name val="Century Gothic"/>
      <family val="2"/>
      <charset val="204"/>
    </font>
    <font>
      <b/>
      <i/>
      <sz val="14"/>
      <color theme="0"/>
      <name val="Trebuchet MS"/>
      <family val="2"/>
      <charset val="204"/>
    </font>
    <font>
      <sz val="16"/>
      <color theme="1"/>
      <name val="Century Gothic"/>
      <family val="2"/>
      <charset val="204"/>
    </font>
    <font>
      <sz val="11"/>
      <name val="Arial Cyr"/>
      <charset val="204"/>
    </font>
    <font>
      <b/>
      <i/>
      <sz val="12"/>
      <color theme="0"/>
      <name val="Trebuchet MS"/>
      <family val="2"/>
      <charset val="204"/>
    </font>
    <font>
      <sz val="10"/>
      <name val="Arial"/>
      <family val="2"/>
      <charset val="204"/>
    </font>
    <font>
      <b/>
      <sz val="12"/>
      <color theme="0"/>
      <name val="Trebuchet MS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theme="0" tint="-0.34998626667073579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8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9" tint="0.59999389629810485"/>
      </patternFill>
    </fill>
    <fill>
      <patternFill patternType="solid">
        <fgColor rgb="FF008000"/>
        <bgColor theme="8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theme="0"/>
      </left>
      <right/>
      <top style="medium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13" fillId="0" borderId="0"/>
    <xf numFmtId="0" fontId="15" fillId="0" borderId="0"/>
    <xf numFmtId="0" fontId="13" fillId="0" borderId="0"/>
    <xf numFmtId="43" fontId="3" fillId="0" borderId="0" applyFont="0" applyFill="0" applyBorder="0" applyAlignment="0" applyProtection="0"/>
    <xf numFmtId="0" fontId="13" fillId="0" borderId="0"/>
  </cellStyleXfs>
  <cellXfs count="179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 indent="3"/>
    </xf>
    <xf numFmtId="0" fontId="7" fillId="3" borderId="0" xfId="0" applyFont="1" applyFill="1" applyAlignment="1">
      <alignment horizontal="left" indent="3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indent="2"/>
    </xf>
    <xf numFmtId="0" fontId="11" fillId="3" borderId="0" xfId="0" applyFont="1" applyFill="1"/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/>
    <xf numFmtId="14" fontId="1" fillId="3" borderId="2" xfId="0" applyNumberFormat="1" applyFont="1" applyFill="1" applyBorder="1"/>
    <xf numFmtId="0" fontId="1" fillId="3" borderId="2" xfId="0" applyFont="1" applyFill="1" applyBorder="1"/>
    <xf numFmtId="0" fontId="8" fillId="3" borderId="9" xfId="0" applyFont="1" applyFill="1" applyBorder="1"/>
    <xf numFmtId="14" fontId="1" fillId="3" borderId="5" xfId="0" applyNumberFormat="1" applyFont="1" applyFill="1" applyBorder="1"/>
    <xf numFmtId="14" fontId="1" fillId="3" borderId="10" xfId="0" applyNumberFormat="1" applyFont="1" applyFill="1" applyBorder="1"/>
    <xf numFmtId="0" fontId="1" fillId="3" borderId="10" xfId="0" applyFont="1" applyFill="1" applyBorder="1"/>
    <xf numFmtId="0" fontId="8" fillId="3" borderId="6" xfId="0" applyFont="1" applyFill="1" applyBorder="1"/>
    <xf numFmtId="0" fontId="7" fillId="3" borderId="0" xfId="0" applyFont="1" applyFill="1" applyAlignment="1">
      <alignment horizontal="left" vertical="center" indent="2"/>
    </xf>
    <xf numFmtId="0" fontId="8" fillId="5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" fillId="3" borderId="2" xfId="3" applyFont="1" applyFill="1" applyBorder="1"/>
    <xf numFmtId="14" fontId="1" fillId="3" borderId="2" xfId="3" applyNumberFormat="1" applyFont="1" applyFill="1" applyBorder="1"/>
    <xf numFmtId="0" fontId="1" fillId="5" borderId="2" xfId="3" applyFont="1" applyFill="1" applyBorder="1"/>
    <xf numFmtId="14" fontId="1" fillId="5" borderId="2" xfId="3" applyNumberFormat="1" applyFont="1" applyFill="1" applyBorder="1"/>
    <xf numFmtId="0" fontId="0" fillId="3" borderId="0" xfId="0" applyFill="1" applyAlignment="1">
      <alignment horizontal="left" inden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1" fillId="3" borderId="14" xfId="3" applyFont="1" applyFill="1" applyBorder="1"/>
    <xf numFmtId="14" fontId="1" fillId="3" borderId="14" xfId="3" applyNumberFormat="1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horizontal="center"/>
    </xf>
    <xf numFmtId="0" fontId="8" fillId="5" borderId="2" xfId="0" applyFont="1" applyFill="1" applyBorder="1"/>
    <xf numFmtId="0" fontId="8" fillId="5" borderId="2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6" borderId="8" xfId="0" applyFont="1" applyFill="1" applyBorder="1"/>
    <xf numFmtId="0" fontId="8" fillId="6" borderId="9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0" fontId="8" fillId="6" borderId="5" xfId="0" applyFont="1" applyFill="1" applyBorder="1"/>
    <xf numFmtId="0" fontId="8" fillId="6" borderId="10" xfId="0" applyFont="1" applyFill="1" applyBorder="1"/>
    <xf numFmtId="0" fontId="8" fillId="6" borderId="10" xfId="0" applyFont="1" applyFill="1" applyBorder="1" applyAlignment="1">
      <alignment horizontal="center"/>
    </xf>
    <xf numFmtId="0" fontId="8" fillId="6" borderId="6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indent="3"/>
    </xf>
    <xf numFmtId="0" fontId="7" fillId="0" borderId="1" xfId="0" applyFont="1" applyFill="1" applyBorder="1" applyAlignment="1">
      <alignment horizontal="left" indent="3"/>
    </xf>
    <xf numFmtId="0" fontId="16" fillId="3" borderId="1" xfId="4" applyFont="1" applyFill="1" applyBorder="1"/>
    <xf numFmtId="0" fontId="15" fillId="3" borderId="1" xfId="4" applyFill="1" applyBorder="1"/>
    <xf numFmtId="0" fontId="5" fillId="3" borderId="1" xfId="0" applyFont="1" applyFill="1" applyBorder="1"/>
    <xf numFmtId="0" fontId="6" fillId="3" borderId="1" xfId="0" applyFont="1" applyFill="1" applyBorder="1" applyAlignment="1">
      <alignment horizontal="left" indent="2"/>
    </xf>
    <xf numFmtId="0" fontId="17" fillId="3" borderId="1" xfId="5" applyFont="1" applyFill="1" applyBorder="1"/>
    <xf numFmtId="0" fontId="8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right" vertical="center"/>
    </xf>
    <xf numFmtId="0" fontId="16" fillId="3" borderId="17" xfId="4" applyFont="1" applyFill="1" applyBorder="1"/>
    <xf numFmtId="0" fontId="15" fillId="3" borderId="20" xfId="4" applyFill="1" applyBorder="1"/>
    <xf numFmtId="0" fontId="1" fillId="0" borderId="2" xfId="4" applyNumberFormat="1" applyFont="1" applyFill="1" applyBorder="1" applyAlignment="1"/>
    <xf numFmtId="0" fontId="15" fillId="3" borderId="19" xfId="4" applyFill="1" applyBorder="1"/>
    <xf numFmtId="0" fontId="12" fillId="4" borderId="4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/>
    <xf numFmtId="0" fontId="1" fillId="0" borderId="10" xfId="4" applyNumberFormat="1" applyFont="1" applyFill="1" applyBorder="1" applyAlignment="1"/>
    <xf numFmtId="0" fontId="1" fillId="0" borderId="6" xfId="4" applyNumberFormat="1" applyFont="1" applyFill="1" applyBorder="1" applyAlignment="1"/>
    <xf numFmtId="0" fontId="8" fillId="0" borderId="2" xfId="0" applyFont="1" applyBorder="1"/>
    <xf numFmtId="0" fontId="12" fillId="7" borderId="3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3" borderId="8" xfId="0" applyFont="1" applyFill="1" applyBorder="1"/>
    <xf numFmtId="0" fontId="8" fillId="3" borderId="2" xfId="0" applyFont="1" applyFill="1" applyBorder="1"/>
    <xf numFmtId="14" fontId="8" fillId="3" borderId="2" xfId="0" applyNumberFormat="1" applyFont="1" applyFill="1" applyBorder="1"/>
    <xf numFmtId="0" fontId="8" fillId="3" borderId="5" xfId="0" applyFont="1" applyFill="1" applyBorder="1"/>
    <xf numFmtId="0" fontId="8" fillId="3" borderId="10" xfId="0" applyFont="1" applyFill="1" applyBorder="1"/>
    <xf numFmtId="14" fontId="8" fillId="3" borderId="10" xfId="0" applyNumberFormat="1" applyFont="1" applyFill="1" applyBorder="1"/>
    <xf numFmtId="0" fontId="18" fillId="3" borderId="0" xfId="0" applyFont="1" applyFill="1"/>
    <xf numFmtId="0" fontId="16" fillId="3" borderId="19" xfId="4" applyFont="1" applyFill="1" applyBorder="1"/>
    <xf numFmtId="0" fontId="16" fillId="3" borderId="20" xfId="4" applyFont="1" applyFill="1" applyBorder="1"/>
    <xf numFmtId="0" fontId="12" fillId="4" borderId="3" xfId="4" applyNumberFormat="1" applyFont="1" applyFill="1" applyBorder="1" applyAlignment="1">
      <alignment horizontal="center" vertical="center"/>
    </xf>
    <xf numFmtId="0" fontId="12" fillId="4" borderId="7" xfId="4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vertical="center"/>
    </xf>
    <xf numFmtId="165" fontId="8" fillId="3" borderId="2" xfId="0" applyNumberFormat="1" applyFont="1" applyFill="1" applyBorder="1" applyAlignment="1">
      <alignment horizontal="right" vertical="center"/>
    </xf>
    <xf numFmtId="14" fontId="8" fillId="3" borderId="2" xfId="0" applyNumberFormat="1" applyFont="1" applyFill="1" applyBorder="1" applyAlignment="1">
      <alignment horizontal="right" vertical="center"/>
    </xf>
    <xf numFmtId="164" fontId="12" fillId="4" borderId="7" xfId="0" applyNumberFormat="1" applyFont="1" applyFill="1" applyBorder="1" applyAlignment="1">
      <alignment horizontal="center" vertical="center" wrapText="1"/>
    </xf>
    <xf numFmtId="14" fontId="12" fillId="4" borderId="7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164" fontId="8" fillId="3" borderId="9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164" fontId="8" fillId="3" borderId="10" xfId="0" applyNumberFormat="1" applyFont="1" applyFill="1" applyBorder="1" applyAlignment="1">
      <alignment vertical="center"/>
    </xf>
    <xf numFmtId="165" fontId="8" fillId="3" borderId="10" xfId="0" applyNumberFormat="1" applyFont="1" applyFill="1" applyBorder="1" applyAlignment="1">
      <alignment horizontal="right" vertical="center"/>
    </xf>
    <xf numFmtId="14" fontId="8" fillId="3" borderId="10" xfId="0" applyNumberFormat="1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vertical="center"/>
    </xf>
    <xf numFmtId="0" fontId="8" fillId="0" borderId="23" xfId="0" applyFont="1" applyFill="1" applyBorder="1"/>
    <xf numFmtId="0" fontId="8" fillId="0" borderId="22" xfId="0" applyFont="1" applyFill="1" applyBorder="1"/>
    <xf numFmtId="0" fontId="8" fillId="0" borderId="22" xfId="0" applyFont="1" applyFill="1" applyBorder="1" applyAlignment="1">
      <alignment horizontal="center"/>
    </xf>
    <xf numFmtId="14" fontId="8" fillId="0" borderId="22" xfId="0" applyNumberFormat="1" applyFont="1" applyFill="1" applyBorder="1"/>
    <xf numFmtId="0" fontId="14" fillId="0" borderId="2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1" fillId="3" borderId="26" xfId="3" applyFont="1" applyFill="1" applyBorder="1"/>
    <xf numFmtId="0" fontId="1" fillId="5" borderId="26" xfId="3" applyFont="1" applyFill="1" applyBorder="1"/>
    <xf numFmtId="0" fontId="8" fillId="3" borderId="27" xfId="0" applyFont="1" applyFill="1" applyBorder="1" applyAlignment="1">
      <alignment vertical="center"/>
    </xf>
    <xf numFmtId="0" fontId="1" fillId="3" borderId="28" xfId="3" applyFont="1" applyFill="1" applyBorder="1"/>
    <xf numFmtId="0" fontId="12" fillId="4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14" fontId="8" fillId="5" borderId="28" xfId="0" applyNumberFormat="1" applyFont="1" applyFill="1" applyBorder="1" applyAlignment="1">
      <alignment vertical="center"/>
    </xf>
    <xf numFmtId="0" fontId="8" fillId="5" borderId="30" xfId="0" applyFont="1" applyFill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1" fillId="3" borderId="28" xfId="3" applyNumberFormat="1" applyFont="1" applyFill="1" applyBorder="1" applyAlignment="1"/>
    <xf numFmtId="0" fontId="8" fillId="3" borderId="28" xfId="0" applyFont="1" applyFill="1" applyBorder="1" applyAlignment="1">
      <alignment vertical="center"/>
    </xf>
    <xf numFmtId="14" fontId="1" fillId="3" borderId="28" xfId="3" applyNumberFormat="1" applyFont="1" applyFill="1" applyBorder="1" applyAlignment="1"/>
    <xf numFmtId="0" fontId="1" fillId="3" borderId="30" xfId="3" applyNumberFormat="1" applyFont="1" applyFill="1" applyBorder="1" applyAlignment="1"/>
    <xf numFmtId="0" fontId="1" fillId="5" borderId="28" xfId="3" applyNumberFormat="1" applyFont="1" applyFill="1" applyBorder="1" applyAlignment="1"/>
    <xf numFmtId="14" fontId="1" fillId="5" borderId="28" xfId="3" applyNumberFormat="1" applyFont="1" applyFill="1" applyBorder="1" applyAlignment="1"/>
    <xf numFmtId="0" fontId="1" fillId="5" borderId="30" xfId="3" applyNumberFormat="1" applyFont="1" applyFill="1" applyBorder="1" applyAlignment="1"/>
    <xf numFmtId="0" fontId="8" fillId="3" borderId="31" xfId="0" applyFont="1" applyFill="1" applyBorder="1" applyAlignment="1">
      <alignment vertical="center"/>
    </xf>
    <xf numFmtId="0" fontId="1" fillId="3" borderId="32" xfId="3" applyNumberFormat="1" applyFont="1" applyFill="1" applyBorder="1" applyAlignment="1"/>
    <xf numFmtId="0" fontId="8" fillId="3" borderId="32" xfId="0" applyFont="1" applyFill="1" applyBorder="1" applyAlignment="1">
      <alignment vertical="center"/>
    </xf>
    <xf numFmtId="14" fontId="1" fillId="3" borderId="32" xfId="3" applyNumberFormat="1" applyFont="1" applyFill="1" applyBorder="1" applyAlignment="1"/>
    <xf numFmtId="0" fontId="1" fillId="3" borderId="6" xfId="3" applyNumberFormat="1" applyFont="1" applyFill="1" applyBorder="1" applyAlignment="1"/>
    <xf numFmtId="0" fontId="6" fillId="3" borderId="0" xfId="0" applyFont="1" applyFill="1" applyAlignment="1">
      <alignment horizontal="left" indent="4"/>
    </xf>
    <xf numFmtId="0" fontId="7" fillId="3" borderId="0" xfId="0" applyFont="1" applyFill="1" applyAlignment="1">
      <alignment horizontal="left" indent="4"/>
    </xf>
    <xf numFmtId="0" fontId="12" fillId="4" borderId="3" xfId="7" applyFont="1" applyFill="1" applyBorder="1" applyAlignment="1">
      <alignment horizontal="center" vertical="center"/>
    </xf>
    <xf numFmtId="0" fontId="12" fillId="4" borderId="7" xfId="7" applyFont="1" applyFill="1" applyBorder="1" applyAlignment="1">
      <alignment horizontal="center" vertical="center" wrapText="1"/>
    </xf>
    <xf numFmtId="0" fontId="12" fillId="4" borderId="4" xfId="7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166" fontId="1" fillId="3" borderId="2" xfId="6" applyNumberFormat="1" applyFont="1" applyFill="1" applyBorder="1" applyAlignment="1">
      <alignment horizontal="right" vertical="center"/>
    </xf>
    <xf numFmtId="166" fontId="1" fillId="3" borderId="9" xfId="6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right" vertical="center"/>
    </xf>
    <xf numFmtId="166" fontId="1" fillId="3" borderId="10" xfId="6" applyNumberFormat="1" applyFont="1" applyFill="1" applyBorder="1" applyAlignment="1">
      <alignment horizontal="right" vertical="center"/>
    </xf>
    <xf numFmtId="166" fontId="1" fillId="3" borderId="6" xfId="6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6" fillId="3" borderId="24" xfId="4" applyFont="1" applyFill="1" applyBorder="1"/>
    <xf numFmtId="0" fontId="16" fillId="3" borderId="0" xfId="4" applyFont="1" applyFill="1" applyBorder="1"/>
    <xf numFmtId="0" fontId="1" fillId="3" borderId="2" xfId="4" applyFont="1" applyFill="1" applyBorder="1"/>
    <xf numFmtId="0" fontId="1" fillId="0" borderId="8" xfId="4" applyNumberFormat="1" applyFont="1" applyFill="1" applyBorder="1" applyAlignment="1"/>
    <xf numFmtId="0" fontId="1" fillId="0" borderId="5" xfId="4" applyNumberFormat="1" applyFont="1" applyFill="1" applyBorder="1" applyAlignment="1"/>
    <xf numFmtId="0" fontId="1" fillId="3" borderId="10" xfId="4" applyFont="1" applyFill="1" applyBorder="1"/>
    <xf numFmtId="0" fontId="12" fillId="4" borderId="3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top" wrapText="1"/>
    </xf>
    <xf numFmtId="164" fontId="12" fillId="4" borderId="4" xfId="7" applyNumberFormat="1" applyFont="1" applyFill="1" applyBorder="1" applyAlignment="1">
      <alignment horizontal="center" vertical="top" wrapText="1"/>
    </xf>
    <xf numFmtId="0" fontId="1" fillId="3" borderId="8" xfId="7" applyFont="1" applyFill="1" applyBorder="1"/>
    <xf numFmtId="0" fontId="1" fillId="3" borderId="2" xfId="7" applyFont="1" applyFill="1" applyBorder="1"/>
    <xf numFmtId="0" fontId="1" fillId="3" borderId="9" xfId="7" applyFont="1" applyFill="1" applyBorder="1"/>
    <xf numFmtId="0" fontId="1" fillId="3" borderId="5" xfId="7" applyFont="1" applyFill="1" applyBorder="1"/>
    <xf numFmtId="0" fontId="1" fillId="3" borderId="10" xfId="7" applyFont="1" applyFill="1" applyBorder="1"/>
    <xf numFmtId="0" fontId="1" fillId="3" borderId="6" xfId="7" applyFont="1" applyFill="1" applyBorder="1"/>
    <xf numFmtId="0" fontId="0" fillId="0" borderId="1" xfId="0" applyBorder="1"/>
    <xf numFmtId="0" fontId="6" fillId="0" borderId="1" xfId="0" applyFont="1" applyBorder="1" applyAlignment="1">
      <alignment horizontal="left" indent="2"/>
    </xf>
    <xf numFmtId="0" fontId="6" fillId="0" borderId="1" xfId="0" applyFont="1" applyFill="1" applyBorder="1" applyAlignment="1">
      <alignment horizontal="left" indent="4"/>
    </xf>
    <xf numFmtId="0" fontId="6" fillId="0" borderId="1" xfId="0" applyFont="1" applyFill="1" applyBorder="1" applyAlignment="1">
      <alignment horizontal="left" indent="5"/>
    </xf>
    <xf numFmtId="0" fontId="0" fillId="0" borderId="1" xfId="0" applyFill="1" applyBorder="1" applyAlignment="1">
      <alignment horizontal="left" indent="2"/>
    </xf>
    <xf numFmtId="0" fontId="0" fillId="0" borderId="1" xfId="0" applyBorder="1" applyAlignment="1">
      <alignment horizontal="left" indent="2"/>
    </xf>
  </cellXfs>
  <cellStyles count="8">
    <cellStyle name="Normal 2" xfId="2" xr:uid="{B69D1870-2988-46E7-ACED-3671E808CBD5}"/>
    <cellStyle name="Звичайний" xfId="0" builtinId="0"/>
    <cellStyle name="Колірна тема 6" xfId="1" builtinId="49"/>
    <cellStyle name="Обычный_Задания Excel#2" xfId="5" xr:uid="{420DC886-61DE-4E5A-AA40-04CB2B1F1C2B}"/>
    <cellStyle name="Обычный_Задания VIP" xfId="4" xr:uid="{A1D94CF2-7500-4450-A0BB-61A166839FA3}"/>
    <cellStyle name="Обычный_Упражнение 5" xfId="7" xr:uid="{40559C08-BBFE-4F88-983A-3B3842B0A78B}"/>
    <cellStyle name="Обычный_Функции ЕСЛИ и ВПР" xfId="3" xr:uid="{82E00C61-0FAB-4EEF-95DA-98E7844BA697}"/>
    <cellStyle name="Фінансовий" xfId="6" builtinId="3"/>
  </cellStyles>
  <dxfs count="2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/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rgb="FF008000"/>
        </right>
        <top style="thin">
          <color rgb="FF008000"/>
        </top>
        <bottom style="thin">
          <color rgb="FF008000"/>
        </bottom>
        <vertical/>
        <horizontal/>
      </border>
    </dxf>
    <dxf>
      <border diagonalUp="0" diagonalDown="0">
        <left style="medium">
          <color rgb="FF008000"/>
        </left>
        <right style="medium">
          <color rgb="FF008000"/>
        </right>
        <top style="medium">
          <color rgb="FF008000"/>
        </top>
        <bottom style="medium">
          <color rgb="FF008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family val="2"/>
        <charset val="204"/>
        <scheme val="none"/>
      </font>
      <fill>
        <patternFill patternType="solid">
          <fgColor indexed="64"/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charset val="204"/>
        <scheme val="none"/>
      </font>
      <fill>
        <patternFill patternType="solid">
          <fgColor indexed="64"/>
          <bgColor rgb="FF008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charset val="204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8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8281</xdr:colOff>
      <xdr:row>0</xdr:row>
      <xdr:rowOff>9525</xdr:rowOff>
    </xdr:from>
    <xdr:to>
      <xdr:col>22</xdr:col>
      <xdr:colOff>495300</xdr:colOff>
      <xdr:row>37</xdr:row>
      <xdr:rowOff>186947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4F83F8B-93CE-44FE-94B0-1FB4CD7E3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9" r="713" b="3866"/>
        <a:stretch/>
      </xdr:blipFill>
      <xdr:spPr>
        <a:xfrm>
          <a:off x="8281" y="9525"/>
          <a:ext cx="13269569" cy="72259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37F62F-9D15-4880-9409-C2B98CED6DF7}" name="Таблиця1" displayName="Таблиця1" ref="B2:K57" totalsRowShown="0" headerRowDxfId="27" dataDxfId="26" tableBorderDxfId="25">
  <autoFilter ref="B2:K57" xr:uid="{0A244E4E-EA7A-4395-9432-30C91BE7FC39}"/>
  <tableColumns count="10">
    <tableColumn id="1" xr3:uid="{D5A16728-265E-499A-9879-978F21CD068B}" name="№" dataDxfId="24"/>
    <tableColumn id="2" xr3:uid="{7ADBFB8A-7B68-4EB0-8B59-E64B934A8CD4}" name="Прізвище" dataDxfId="23"/>
    <tableColumn id="3" xr3:uid="{68E7A16F-3046-4550-9ABF-03AF4C34A9CC}" name="Ім'я" dataDxfId="22"/>
    <tableColumn id="4" xr3:uid="{8233D555-97B0-4027-A6FD-2BD92F2DCCA2}" name="По батькові" dataDxfId="21"/>
    <tableColumn id="5" xr3:uid="{D6948E3E-E6FE-4D50-8DAA-A06E2458C5F0}" name="Стать" dataDxfId="20"/>
    <tableColumn id="6" xr3:uid="{7EBFA42A-236A-457C-9A17-7398773AD80E}" name="Дата народження" dataDxfId="19"/>
    <tableColumn id="7" xr3:uid="{659BBFE9-EFAE-48F7-B2DE-3CFB226FD11C}" name="Місто" dataDxfId="18"/>
    <tableColumn id="8" xr3:uid="{17DDCA38-DB9D-4185-87A6-849F58DF81C9}" name="Відділ" dataDxfId="17"/>
    <tableColumn id="9" xr3:uid="{4DE20343-BE84-4E52-A2ED-5A9F918C564F}" name="Оклад, грн" dataDxfId="16"/>
    <tableColumn id="10" xr3:uid="{F9D24B96-1EC3-42FA-8D66-0586293C33FC}" name="Номер авто" dataDxfId="15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8023B1-CFA1-4A57-9D7E-22F2EBF87BDD}" name="Таблиця2" displayName="Таблиця2" ref="B2:K320" totalsRowShown="0" headerRowDxfId="13" dataDxfId="12" tableBorderDxfId="11" dataCellStyle="Обычный_Функции ЕСЛИ и ВПР">
  <tableColumns count="10">
    <tableColumn id="1" xr3:uid="{C15694D3-B641-49A1-BB8E-491FFCB57D19}" name="Найменування" dataDxfId="10"/>
    <tableColumn id="2" xr3:uid="{49947B9C-771C-4E17-9793-3B862C29144E}" name="Виробник" dataDxfId="9" dataCellStyle="Обычный_Функции ЕСЛИ и ВПР"/>
    <tableColumn id="3" xr3:uid="{492EE1F8-2E75-4907-B1A6-5FA3156589D7}" name="Ціна_x000a_за од." dataDxfId="8" dataCellStyle="Обычный_Функции ЕСЛИ и ВПР"/>
    <tableColumn id="4" xr3:uid="{6C2A271F-FBAB-45A8-96DC-437C5FC18CA0}" name="Постачальник" dataDxfId="7"/>
    <tableColumn id="5" xr3:uid="{3FF20D6F-3670-4167-95FD-257968C78C1B}" name="Кількість, од." dataDxfId="6" dataCellStyle="Обычный_Функции ЕСЛИ и ВПР"/>
    <tableColumn id="6" xr3:uid="{D75943F7-705D-43B5-ACFC-A3C780615A32}" name="Брак, од." dataDxfId="5" dataCellStyle="Обычный_Функции ЕСЛИ и ВПР"/>
    <tableColumn id="7" xr3:uid="{75649572-A677-4519-85E1-01462908AD81}" name="Вартість партії" dataDxfId="4" dataCellStyle="Обычный_Функции ЕСЛИ и ВПР"/>
    <tableColumn id="8" xr3:uid="{00FB1A42-8E62-4A3B-B5B2-13288CB46A48}" name="Вартість браку" dataDxfId="3" dataCellStyle="Обычный_Функции ЕСЛИ и ВПР"/>
    <tableColumn id="9" xr3:uid="{16D419FC-6BC2-42C2-8F47-BB092275F821}" name="День поставки" dataDxfId="2" dataCellStyle="Обычный_Функции ЕСЛИ и ВПР"/>
    <tableColumn id="10" xr3:uid="{E1DF9092-62DD-4487-AEB0-A4A2D3CD4ED5}" name="Приймальник" dataDxfId="1" dataCellStyle="Обычный_Функции ЕСЛИ и ВПР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FEEB-4831-4144-A0F6-539D48AA98CA}">
  <dimension ref="B2:L36"/>
  <sheetViews>
    <sheetView tabSelected="1" zoomScaleNormal="100" workbookViewId="0"/>
  </sheetViews>
  <sheetFormatPr defaultColWidth="9.109375" defaultRowHeight="14.4" x14ac:dyDescent="0.3"/>
  <cols>
    <col min="1" max="1" width="3.6640625" style="54" customWidth="1"/>
    <col min="2" max="2" width="23.5546875" style="54" bestFit="1" customWidth="1"/>
    <col min="3" max="3" width="24.6640625" style="54" bestFit="1" customWidth="1"/>
    <col min="4" max="4" width="19.6640625" style="54" bestFit="1" customWidth="1"/>
    <col min="5" max="5" width="15.44140625" style="54" bestFit="1" customWidth="1"/>
    <col min="6" max="7" width="18.109375" style="54" bestFit="1" customWidth="1"/>
    <col min="8" max="8" width="20.6640625" style="54" bestFit="1" customWidth="1"/>
    <col min="9" max="9" width="19.33203125" style="54" bestFit="1" customWidth="1"/>
    <col min="10" max="10" width="18.109375" style="54" bestFit="1" customWidth="1"/>
    <col min="11" max="16384" width="9.109375" style="54"/>
  </cols>
  <sheetData>
    <row r="2" spans="2:12" ht="48.6" x14ac:dyDescent="0.35"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L2" s="55" t="s">
        <v>9</v>
      </c>
    </row>
    <row r="3" spans="2:12" ht="18" x14ac:dyDescent="0.35">
      <c r="B3" s="53" t="s">
        <v>666</v>
      </c>
      <c r="C3" s="53" t="s">
        <v>499</v>
      </c>
      <c r="D3" s="53">
        <v>5</v>
      </c>
      <c r="E3" s="53">
        <v>1.2</v>
      </c>
      <c r="F3" s="53">
        <v>750</v>
      </c>
      <c r="G3" s="53">
        <f t="shared" ref="G3:G36" si="0">F3*E3</f>
        <v>900</v>
      </c>
      <c r="H3" s="53">
        <f>F3*6%</f>
        <v>45</v>
      </c>
      <c r="I3" s="53">
        <f t="shared" ref="I3:I36" si="1">(F3+G3-H3)*13%</f>
        <v>208.65</v>
      </c>
      <c r="J3" s="53">
        <f t="shared" ref="J3:J36" si="2">F3+G3-H3-I3</f>
        <v>1396.35</v>
      </c>
      <c r="L3" s="56" t="s">
        <v>740</v>
      </c>
    </row>
    <row r="4" spans="2:12" ht="18" x14ac:dyDescent="0.35">
      <c r="B4" s="53" t="s">
        <v>493</v>
      </c>
      <c r="C4" s="53" t="s">
        <v>728</v>
      </c>
      <c r="D4" s="53">
        <v>0</v>
      </c>
      <c r="E4" s="53">
        <v>1</v>
      </c>
      <c r="F4" s="53">
        <v>600</v>
      </c>
      <c r="G4" s="53">
        <f t="shared" si="0"/>
        <v>600</v>
      </c>
      <c r="H4" s="53">
        <f t="shared" ref="H4:H36" si="3">F4*6%</f>
        <v>36</v>
      </c>
      <c r="I4" s="53">
        <f t="shared" si="1"/>
        <v>151.32</v>
      </c>
      <c r="J4" s="53">
        <f t="shared" si="2"/>
        <v>1012.6800000000001</v>
      </c>
      <c r="L4" s="57" t="s">
        <v>11</v>
      </c>
    </row>
    <row r="5" spans="2:12" ht="15.6" x14ac:dyDescent="0.3">
      <c r="B5" s="53" t="s">
        <v>486</v>
      </c>
      <c r="C5" s="53" t="s">
        <v>500</v>
      </c>
      <c r="D5" s="53">
        <v>8</v>
      </c>
      <c r="E5" s="53">
        <v>1.5</v>
      </c>
      <c r="F5" s="53">
        <v>800</v>
      </c>
      <c r="G5" s="53">
        <f t="shared" si="0"/>
        <v>1200</v>
      </c>
      <c r="H5" s="53">
        <f t="shared" si="3"/>
        <v>48</v>
      </c>
      <c r="I5" s="53">
        <f t="shared" si="1"/>
        <v>253.76000000000002</v>
      </c>
      <c r="J5" s="53">
        <f t="shared" si="2"/>
        <v>1698.24</v>
      </c>
    </row>
    <row r="6" spans="2:12" ht="18" x14ac:dyDescent="0.35">
      <c r="B6" s="53" t="s">
        <v>667</v>
      </c>
      <c r="C6" s="53" t="s">
        <v>500</v>
      </c>
      <c r="D6" s="53">
        <v>3</v>
      </c>
      <c r="E6" s="53">
        <v>1.2</v>
      </c>
      <c r="F6" s="53">
        <v>1130</v>
      </c>
      <c r="G6" s="53">
        <f t="shared" si="0"/>
        <v>1356</v>
      </c>
      <c r="H6" s="53">
        <f t="shared" si="3"/>
        <v>67.8</v>
      </c>
      <c r="I6" s="53">
        <f t="shared" si="1"/>
        <v>314.36599999999999</v>
      </c>
      <c r="J6" s="53">
        <f t="shared" si="2"/>
        <v>2103.8339999999998</v>
      </c>
      <c r="L6" s="56" t="s">
        <v>727</v>
      </c>
    </row>
    <row r="7" spans="2:12" ht="18" x14ac:dyDescent="0.35">
      <c r="B7" s="53" t="s">
        <v>494</v>
      </c>
      <c r="C7" s="53" t="s">
        <v>500</v>
      </c>
      <c r="D7" s="53">
        <v>0</v>
      </c>
      <c r="E7" s="53">
        <v>1</v>
      </c>
      <c r="F7" s="53">
        <v>1000</v>
      </c>
      <c r="G7" s="53">
        <f t="shared" si="0"/>
        <v>1000</v>
      </c>
      <c r="H7" s="53">
        <f t="shared" si="3"/>
        <v>60</v>
      </c>
      <c r="I7" s="53">
        <f t="shared" si="1"/>
        <v>252.20000000000002</v>
      </c>
      <c r="J7" s="53">
        <f t="shared" si="2"/>
        <v>1687.8</v>
      </c>
      <c r="L7" s="58" t="s">
        <v>14</v>
      </c>
    </row>
    <row r="8" spans="2:12" ht="18" x14ac:dyDescent="0.35">
      <c r="B8" s="53" t="s">
        <v>668</v>
      </c>
      <c r="C8" s="53" t="s">
        <v>728</v>
      </c>
      <c r="D8" s="53">
        <v>1</v>
      </c>
      <c r="E8" s="53">
        <v>1.2</v>
      </c>
      <c r="F8" s="53">
        <v>1350</v>
      </c>
      <c r="G8" s="53">
        <f t="shared" si="0"/>
        <v>1620</v>
      </c>
      <c r="H8" s="53">
        <f t="shared" si="3"/>
        <v>81</v>
      </c>
      <c r="I8" s="53">
        <f t="shared" si="1"/>
        <v>375.57</v>
      </c>
      <c r="J8" s="53">
        <f t="shared" si="2"/>
        <v>2513.4299999999998</v>
      </c>
      <c r="L8" s="58" t="s">
        <v>15</v>
      </c>
    </row>
    <row r="9" spans="2:12" ht="18" x14ac:dyDescent="0.35">
      <c r="B9" s="53" t="s">
        <v>669</v>
      </c>
      <c r="C9" s="53" t="s">
        <v>501</v>
      </c>
      <c r="D9" s="53">
        <v>0</v>
      </c>
      <c r="E9" s="53">
        <v>1</v>
      </c>
      <c r="F9" s="53">
        <v>1100</v>
      </c>
      <c r="G9" s="53">
        <f t="shared" si="0"/>
        <v>1100</v>
      </c>
      <c r="H9" s="53">
        <f t="shared" si="3"/>
        <v>66</v>
      </c>
      <c r="I9" s="53">
        <f t="shared" si="1"/>
        <v>277.42</v>
      </c>
      <c r="J9" s="53">
        <f t="shared" si="2"/>
        <v>1856.58</v>
      </c>
      <c r="L9" s="58" t="s">
        <v>16</v>
      </c>
    </row>
    <row r="10" spans="2:12" ht="18" x14ac:dyDescent="0.35">
      <c r="B10" s="53" t="s">
        <v>487</v>
      </c>
      <c r="C10" s="53" t="s">
        <v>728</v>
      </c>
      <c r="D10" s="53">
        <v>5</v>
      </c>
      <c r="E10" s="53">
        <v>1.2</v>
      </c>
      <c r="F10" s="53">
        <v>1520</v>
      </c>
      <c r="G10" s="53">
        <f t="shared" si="0"/>
        <v>1824</v>
      </c>
      <c r="H10" s="53">
        <f t="shared" si="3"/>
        <v>91.2</v>
      </c>
      <c r="I10" s="53">
        <f t="shared" si="1"/>
        <v>422.86400000000003</v>
      </c>
      <c r="J10" s="53">
        <f t="shared" si="2"/>
        <v>2829.9360000000001</v>
      </c>
      <c r="L10" s="57"/>
    </row>
    <row r="11" spans="2:12" ht="18" x14ac:dyDescent="0.35">
      <c r="B11" s="53" t="s">
        <v>670</v>
      </c>
      <c r="C11" s="53" t="s">
        <v>500</v>
      </c>
      <c r="D11" s="53">
        <v>5</v>
      </c>
      <c r="E11" s="53">
        <v>1.2</v>
      </c>
      <c r="F11" s="53">
        <v>1520</v>
      </c>
      <c r="G11" s="53">
        <f t="shared" si="0"/>
        <v>1824</v>
      </c>
      <c r="H11" s="53">
        <f t="shared" si="3"/>
        <v>91.2</v>
      </c>
      <c r="I11" s="53">
        <f t="shared" si="1"/>
        <v>422.86400000000003</v>
      </c>
      <c r="J11" s="53">
        <f t="shared" si="2"/>
        <v>2829.9360000000001</v>
      </c>
      <c r="L11" s="56" t="s">
        <v>12</v>
      </c>
    </row>
    <row r="12" spans="2:12" ht="18" x14ac:dyDescent="0.35">
      <c r="B12" s="53" t="s">
        <v>671</v>
      </c>
      <c r="C12" s="53" t="s">
        <v>500</v>
      </c>
      <c r="D12" s="53">
        <v>0</v>
      </c>
      <c r="E12" s="53">
        <v>1</v>
      </c>
      <c r="F12" s="53">
        <v>1090</v>
      </c>
      <c r="G12" s="53">
        <f t="shared" si="0"/>
        <v>1090</v>
      </c>
      <c r="H12" s="53">
        <f t="shared" si="3"/>
        <v>65.399999999999991</v>
      </c>
      <c r="I12" s="53">
        <f t="shared" si="1"/>
        <v>274.89800000000002</v>
      </c>
      <c r="J12" s="53">
        <f t="shared" si="2"/>
        <v>1839.7019999999998</v>
      </c>
      <c r="L12" s="57"/>
    </row>
    <row r="13" spans="2:12" ht="18" x14ac:dyDescent="0.35">
      <c r="B13" s="53" t="s">
        <v>488</v>
      </c>
      <c r="C13" s="53" t="s">
        <v>500</v>
      </c>
      <c r="D13" s="53">
        <v>0</v>
      </c>
      <c r="E13" s="53">
        <v>1</v>
      </c>
      <c r="F13" s="53">
        <v>1180</v>
      </c>
      <c r="G13" s="53">
        <f t="shared" si="0"/>
        <v>1180</v>
      </c>
      <c r="H13" s="53">
        <f t="shared" si="3"/>
        <v>70.8</v>
      </c>
      <c r="I13" s="53">
        <f t="shared" si="1"/>
        <v>297.596</v>
      </c>
      <c r="J13" s="53">
        <f t="shared" si="2"/>
        <v>1991.6039999999998</v>
      </c>
      <c r="L13" s="56" t="s">
        <v>13</v>
      </c>
    </row>
    <row r="14" spans="2:12" ht="18" x14ac:dyDescent="0.35">
      <c r="B14" s="53" t="s">
        <v>672</v>
      </c>
      <c r="C14" s="53" t="s">
        <v>728</v>
      </c>
      <c r="D14" s="53">
        <v>0</v>
      </c>
      <c r="E14" s="53">
        <v>1</v>
      </c>
      <c r="F14" s="53">
        <v>1460</v>
      </c>
      <c r="G14" s="53">
        <f t="shared" si="0"/>
        <v>1460</v>
      </c>
      <c r="H14" s="53">
        <f t="shared" si="3"/>
        <v>87.6</v>
      </c>
      <c r="I14" s="53">
        <f t="shared" si="1"/>
        <v>368.21200000000005</v>
      </c>
      <c r="J14" s="53">
        <f t="shared" si="2"/>
        <v>2464.1880000000001</v>
      </c>
      <c r="L14" s="57" t="s">
        <v>17</v>
      </c>
    </row>
    <row r="15" spans="2:12" ht="18" x14ac:dyDescent="0.35">
      <c r="B15" s="53" t="s">
        <v>673</v>
      </c>
      <c r="C15" s="53" t="s">
        <v>501</v>
      </c>
      <c r="D15" s="53">
        <v>15</v>
      </c>
      <c r="E15" s="53">
        <v>2</v>
      </c>
      <c r="F15" s="53">
        <v>1430</v>
      </c>
      <c r="G15" s="53">
        <f t="shared" si="0"/>
        <v>2860</v>
      </c>
      <c r="H15" s="53">
        <f t="shared" si="3"/>
        <v>85.8</v>
      </c>
      <c r="I15" s="53">
        <f t="shared" si="1"/>
        <v>546.54600000000005</v>
      </c>
      <c r="J15" s="53">
        <f t="shared" si="2"/>
        <v>3657.6539999999995</v>
      </c>
      <c r="L15" s="57" t="s">
        <v>20</v>
      </c>
    </row>
    <row r="16" spans="2:12" ht="18" x14ac:dyDescent="0.35">
      <c r="B16" s="53" t="s">
        <v>674</v>
      </c>
      <c r="C16" s="53" t="s">
        <v>499</v>
      </c>
      <c r="D16" s="53">
        <v>10</v>
      </c>
      <c r="E16" s="53">
        <v>2</v>
      </c>
      <c r="F16" s="53">
        <v>1120</v>
      </c>
      <c r="G16" s="53">
        <f t="shared" si="0"/>
        <v>2240</v>
      </c>
      <c r="H16" s="53">
        <f t="shared" si="3"/>
        <v>67.2</v>
      </c>
      <c r="I16" s="53">
        <f t="shared" si="1"/>
        <v>428.06400000000002</v>
      </c>
      <c r="J16" s="53">
        <f t="shared" si="2"/>
        <v>2864.7360000000003</v>
      </c>
      <c r="L16" s="57" t="s">
        <v>729</v>
      </c>
    </row>
    <row r="17" spans="2:12" ht="18" x14ac:dyDescent="0.35">
      <c r="B17" s="53" t="s">
        <v>675</v>
      </c>
      <c r="C17" s="53" t="s">
        <v>501</v>
      </c>
      <c r="D17" s="53">
        <v>0</v>
      </c>
      <c r="E17" s="53">
        <v>1</v>
      </c>
      <c r="F17" s="53">
        <v>1175</v>
      </c>
      <c r="G17" s="53">
        <f t="shared" si="0"/>
        <v>1175</v>
      </c>
      <c r="H17" s="53">
        <f t="shared" si="3"/>
        <v>70.5</v>
      </c>
      <c r="I17" s="53">
        <f t="shared" si="1"/>
        <v>296.33500000000004</v>
      </c>
      <c r="J17" s="53">
        <f t="shared" si="2"/>
        <v>1983.165</v>
      </c>
      <c r="L17" s="57" t="s">
        <v>21</v>
      </c>
    </row>
    <row r="18" spans="2:12" ht="18" x14ac:dyDescent="0.35">
      <c r="B18" s="53" t="s">
        <v>676</v>
      </c>
      <c r="C18" s="53" t="s">
        <v>501</v>
      </c>
      <c r="D18" s="53">
        <v>4</v>
      </c>
      <c r="E18" s="53">
        <v>1.2</v>
      </c>
      <c r="F18" s="53">
        <v>1250</v>
      </c>
      <c r="G18" s="53">
        <f t="shared" si="0"/>
        <v>1500</v>
      </c>
      <c r="H18" s="53">
        <f t="shared" si="3"/>
        <v>75</v>
      </c>
      <c r="I18" s="53">
        <f t="shared" si="1"/>
        <v>347.75</v>
      </c>
      <c r="J18" s="53">
        <f t="shared" si="2"/>
        <v>2327.25</v>
      </c>
      <c r="L18" s="57" t="s">
        <v>22</v>
      </c>
    </row>
    <row r="19" spans="2:12" ht="15.6" x14ac:dyDescent="0.3">
      <c r="B19" s="53" t="s">
        <v>495</v>
      </c>
      <c r="C19" s="53" t="s">
        <v>501</v>
      </c>
      <c r="D19" s="53">
        <v>0</v>
      </c>
      <c r="E19" s="53">
        <v>1</v>
      </c>
      <c r="F19" s="53">
        <v>1140</v>
      </c>
      <c r="G19" s="53">
        <f t="shared" si="0"/>
        <v>1140</v>
      </c>
      <c r="H19" s="53">
        <f t="shared" si="3"/>
        <v>68.399999999999991</v>
      </c>
      <c r="I19" s="53">
        <f t="shared" si="1"/>
        <v>287.50799999999998</v>
      </c>
      <c r="J19" s="53">
        <f t="shared" si="2"/>
        <v>1924.0919999999999</v>
      </c>
    </row>
    <row r="20" spans="2:12" ht="18" x14ac:dyDescent="0.35">
      <c r="B20" s="53" t="s">
        <v>496</v>
      </c>
      <c r="C20" s="53" t="s">
        <v>499</v>
      </c>
      <c r="D20" s="53">
        <v>8</v>
      </c>
      <c r="E20" s="53">
        <v>1.5</v>
      </c>
      <c r="F20" s="53">
        <v>1260</v>
      </c>
      <c r="G20" s="53">
        <f t="shared" si="0"/>
        <v>1890</v>
      </c>
      <c r="H20" s="53">
        <f t="shared" si="3"/>
        <v>75.599999999999994</v>
      </c>
      <c r="I20" s="53">
        <f t="shared" si="1"/>
        <v>399.67200000000003</v>
      </c>
      <c r="J20" s="53">
        <f t="shared" si="2"/>
        <v>2674.7280000000001</v>
      </c>
      <c r="L20" s="56" t="s">
        <v>18</v>
      </c>
    </row>
    <row r="21" spans="2:12" ht="18" x14ac:dyDescent="0.35">
      <c r="B21" s="53" t="s">
        <v>677</v>
      </c>
      <c r="C21" s="53" t="s">
        <v>500</v>
      </c>
      <c r="D21" s="53">
        <v>0</v>
      </c>
      <c r="E21" s="53">
        <v>1</v>
      </c>
      <c r="F21" s="53">
        <v>1175</v>
      </c>
      <c r="G21" s="53">
        <f t="shared" si="0"/>
        <v>1175</v>
      </c>
      <c r="H21" s="53">
        <f t="shared" si="3"/>
        <v>70.5</v>
      </c>
      <c r="I21" s="53">
        <f t="shared" si="1"/>
        <v>296.33500000000004</v>
      </c>
      <c r="J21" s="53">
        <f t="shared" si="2"/>
        <v>1983.165</v>
      </c>
      <c r="L21" s="57" t="s">
        <v>19</v>
      </c>
    </row>
    <row r="22" spans="2:12" ht="15.6" x14ac:dyDescent="0.3">
      <c r="B22" s="53" t="s">
        <v>678</v>
      </c>
      <c r="C22" s="53" t="s">
        <v>500</v>
      </c>
      <c r="D22" s="53">
        <v>0</v>
      </c>
      <c r="E22" s="53">
        <v>1</v>
      </c>
      <c r="F22" s="53">
        <v>1140</v>
      </c>
      <c r="G22" s="53">
        <f t="shared" si="0"/>
        <v>1140</v>
      </c>
      <c r="H22" s="53">
        <f t="shared" si="3"/>
        <v>68.399999999999991</v>
      </c>
      <c r="I22" s="53">
        <f t="shared" si="1"/>
        <v>287.50799999999998</v>
      </c>
      <c r="J22" s="53">
        <f t="shared" si="2"/>
        <v>1924.0919999999999</v>
      </c>
    </row>
    <row r="23" spans="2:12" ht="15.6" x14ac:dyDescent="0.3">
      <c r="B23" s="53" t="s">
        <v>679</v>
      </c>
      <c r="C23" s="53" t="s">
        <v>499</v>
      </c>
      <c r="D23" s="53">
        <v>4</v>
      </c>
      <c r="E23" s="53">
        <v>1.2</v>
      </c>
      <c r="F23" s="53">
        <v>1050</v>
      </c>
      <c r="G23" s="53">
        <f t="shared" si="0"/>
        <v>1260</v>
      </c>
      <c r="H23" s="53">
        <f t="shared" si="3"/>
        <v>63</v>
      </c>
      <c r="I23" s="53">
        <f t="shared" si="1"/>
        <v>292.11</v>
      </c>
      <c r="J23" s="53">
        <f t="shared" si="2"/>
        <v>1954.8899999999999</v>
      </c>
    </row>
    <row r="24" spans="2:12" ht="15.6" x14ac:dyDescent="0.3">
      <c r="B24" s="53" t="s">
        <v>497</v>
      </c>
      <c r="C24" s="53" t="s">
        <v>500</v>
      </c>
      <c r="D24" s="53">
        <v>4</v>
      </c>
      <c r="E24" s="53">
        <v>1.2</v>
      </c>
      <c r="F24" s="53">
        <v>1350</v>
      </c>
      <c r="G24" s="53">
        <f t="shared" si="0"/>
        <v>1620</v>
      </c>
      <c r="H24" s="53">
        <f t="shared" si="3"/>
        <v>81</v>
      </c>
      <c r="I24" s="53">
        <f t="shared" si="1"/>
        <v>375.57</v>
      </c>
      <c r="J24" s="53">
        <f t="shared" si="2"/>
        <v>2513.4299999999998</v>
      </c>
    </row>
    <row r="25" spans="2:12" ht="15.6" x14ac:dyDescent="0.3">
      <c r="B25" s="53" t="s">
        <v>680</v>
      </c>
      <c r="C25" s="53" t="s">
        <v>500</v>
      </c>
      <c r="D25" s="53">
        <v>0</v>
      </c>
      <c r="E25" s="53">
        <v>1</v>
      </c>
      <c r="F25" s="53">
        <v>1210</v>
      </c>
      <c r="G25" s="53">
        <f t="shared" si="0"/>
        <v>1210</v>
      </c>
      <c r="H25" s="53">
        <f t="shared" si="3"/>
        <v>72.599999999999994</v>
      </c>
      <c r="I25" s="53">
        <f t="shared" si="1"/>
        <v>305.16200000000003</v>
      </c>
      <c r="J25" s="53">
        <f t="shared" si="2"/>
        <v>2042.2380000000001</v>
      </c>
    </row>
    <row r="26" spans="2:12" ht="15.6" x14ac:dyDescent="0.3">
      <c r="B26" s="53" t="s">
        <v>681</v>
      </c>
      <c r="C26" s="53" t="s">
        <v>500</v>
      </c>
      <c r="D26" s="53">
        <v>0</v>
      </c>
      <c r="E26" s="53">
        <v>1</v>
      </c>
      <c r="F26" s="53">
        <v>1460</v>
      </c>
      <c r="G26" s="53">
        <f t="shared" si="0"/>
        <v>1460</v>
      </c>
      <c r="H26" s="53">
        <f t="shared" si="3"/>
        <v>87.6</v>
      </c>
      <c r="I26" s="53">
        <f t="shared" si="1"/>
        <v>368.21200000000005</v>
      </c>
      <c r="J26" s="53">
        <f t="shared" si="2"/>
        <v>2464.1880000000001</v>
      </c>
    </row>
    <row r="27" spans="2:12" ht="15.6" x14ac:dyDescent="0.3">
      <c r="B27" s="53" t="s">
        <v>489</v>
      </c>
      <c r="C27" s="53" t="s">
        <v>500</v>
      </c>
      <c r="D27" s="53">
        <v>1</v>
      </c>
      <c r="E27" s="53">
        <v>1.2</v>
      </c>
      <c r="F27" s="53">
        <v>1350</v>
      </c>
      <c r="G27" s="53">
        <f t="shared" si="0"/>
        <v>1620</v>
      </c>
      <c r="H27" s="53">
        <f t="shared" si="3"/>
        <v>81</v>
      </c>
      <c r="I27" s="53">
        <f t="shared" si="1"/>
        <v>375.57</v>
      </c>
      <c r="J27" s="53">
        <f t="shared" si="2"/>
        <v>2513.4299999999998</v>
      </c>
    </row>
    <row r="28" spans="2:12" ht="15.6" x14ac:dyDescent="0.3">
      <c r="B28" s="53" t="s">
        <v>682</v>
      </c>
      <c r="C28" s="53" t="s">
        <v>502</v>
      </c>
      <c r="D28" s="53">
        <v>4</v>
      </c>
      <c r="E28" s="53">
        <v>1.2</v>
      </c>
      <c r="F28" s="53">
        <v>1250</v>
      </c>
      <c r="G28" s="53">
        <f t="shared" si="0"/>
        <v>1500</v>
      </c>
      <c r="H28" s="53">
        <f t="shared" si="3"/>
        <v>75</v>
      </c>
      <c r="I28" s="53">
        <f t="shared" si="1"/>
        <v>347.75</v>
      </c>
      <c r="J28" s="53">
        <f t="shared" si="2"/>
        <v>2327.25</v>
      </c>
    </row>
    <row r="29" spans="2:12" ht="15.6" x14ac:dyDescent="0.3">
      <c r="B29" s="53" t="s">
        <v>683</v>
      </c>
      <c r="C29" s="53" t="s">
        <v>499</v>
      </c>
      <c r="D29" s="53">
        <v>15</v>
      </c>
      <c r="E29" s="53">
        <v>2</v>
      </c>
      <c r="F29" s="53">
        <v>1430</v>
      </c>
      <c r="G29" s="53">
        <f t="shared" si="0"/>
        <v>2860</v>
      </c>
      <c r="H29" s="53">
        <f t="shared" si="3"/>
        <v>85.8</v>
      </c>
      <c r="I29" s="53">
        <f t="shared" si="1"/>
        <v>546.54600000000005</v>
      </c>
      <c r="J29" s="53">
        <f t="shared" si="2"/>
        <v>3657.6539999999995</v>
      </c>
    </row>
    <row r="30" spans="2:12" ht="15.6" x14ac:dyDescent="0.3">
      <c r="B30" s="53" t="s">
        <v>684</v>
      </c>
      <c r="C30" s="53" t="s">
        <v>501</v>
      </c>
      <c r="D30" s="53">
        <v>4</v>
      </c>
      <c r="E30" s="53">
        <v>1.2</v>
      </c>
      <c r="F30" s="53">
        <v>1050</v>
      </c>
      <c r="G30" s="53">
        <f t="shared" si="0"/>
        <v>1260</v>
      </c>
      <c r="H30" s="53">
        <f t="shared" si="3"/>
        <v>63</v>
      </c>
      <c r="I30" s="53">
        <f t="shared" si="1"/>
        <v>292.11</v>
      </c>
      <c r="J30" s="53">
        <f t="shared" si="2"/>
        <v>1954.8899999999999</v>
      </c>
    </row>
    <row r="31" spans="2:12" ht="15.6" x14ac:dyDescent="0.3">
      <c r="B31" s="53" t="s">
        <v>685</v>
      </c>
      <c r="C31" s="53" t="s">
        <v>728</v>
      </c>
      <c r="D31" s="53">
        <v>10</v>
      </c>
      <c r="E31" s="53">
        <v>2</v>
      </c>
      <c r="F31" s="53">
        <v>1120</v>
      </c>
      <c r="G31" s="53">
        <f t="shared" si="0"/>
        <v>2240</v>
      </c>
      <c r="H31" s="53">
        <f t="shared" si="3"/>
        <v>67.2</v>
      </c>
      <c r="I31" s="53">
        <f t="shared" si="1"/>
        <v>428.06400000000002</v>
      </c>
      <c r="J31" s="53">
        <f t="shared" si="2"/>
        <v>2864.7360000000003</v>
      </c>
    </row>
    <row r="32" spans="2:12" ht="15.6" x14ac:dyDescent="0.3">
      <c r="B32" s="53" t="s">
        <v>490</v>
      </c>
      <c r="C32" s="53" t="s">
        <v>500</v>
      </c>
      <c r="D32" s="53">
        <v>5</v>
      </c>
      <c r="E32" s="53">
        <v>1.2</v>
      </c>
      <c r="F32" s="53">
        <v>1280</v>
      </c>
      <c r="G32" s="53">
        <f t="shared" si="0"/>
        <v>1536</v>
      </c>
      <c r="H32" s="53">
        <f t="shared" si="3"/>
        <v>76.8</v>
      </c>
      <c r="I32" s="53">
        <f t="shared" si="1"/>
        <v>356.096</v>
      </c>
      <c r="J32" s="53">
        <f t="shared" si="2"/>
        <v>2383.1039999999998</v>
      </c>
    </row>
    <row r="33" spans="2:10" ht="15.6" x14ac:dyDescent="0.3">
      <c r="B33" s="53" t="s">
        <v>686</v>
      </c>
      <c r="C33" s="53" t="s">
        <v>500</v>
      </c>
      <c r="D33" s="53">
        <v>7</v>
      </c>
      <c r="E33" s="53">
        <v>1.5</v>
      </c>
      <c r="F33" s="53">
        <v>1020</v>
      </c>
      <c r="G33" s="53">
        <f t="shared" si="0"/>
        <v>1530</v>
      </c>
      <c r="H33" s="53">
        <f t="shared" si="3"/>
        <v>61.199999999999996</v>
      </c>
      <c r="I33" s="53">
        <f t="shared" si="1"/>
        <v>323.54400000000004</v>
      </c>
      <c r="J33" s="53">
        <f t="shared" si="2"/>
        <v>2165.2560000000003</v>
      </c>
    </row>
    <row r="34" spans="2:10" ht="15.6" x14ac:dyDescent="0.3">
      <c r="B34" s="53" t="s">
        <v>491</v>
      </c>
      <c r="C34" s="53" t="s">
        <v>502</v>
      </c>
      <c r="D34" s="53">
        <v>2</v>
      </c>
      <c r="E34" s="53">
        <v>1.2</v>
      </c>
      <c r="F34" s="53">
        <v>1180</v>
      </c>
      <c r="G34" s="53">
        <f t="shared" si="0"/>
        <v>1416</v>
      </c>
      <c r="H34" s="53">
        <f t="shared" si="3"/>
        <v>70.8</v>
      </c>
      <c r="I34" s="53">
        <f t="shared" si="1"/>
        <v>328.27600000000001</v>
      </c>
      <c r="J34" s="53">
        <f t="shared" si="2"/>
        <v>2196.924</v>
      </c>
    </row>
    <row r="35" spans="2:10" ht="15.6" x14ac:dyDescent="0.3">
      <c r="B35" s="53" t="s">
        <v>498</v>
      </c>
      <c r="C35" s="53" t="s">
        <v>500</v>
      </c>
      <c r="D35" s="53">
        <v>0</v>
      </c>
      <c r="E35" s="53">
        <v>1</v>
      </c>
      <c r="F35" s="53">
        <v>1100</v>
      </c>
      <c r="G35" s="53">
        <f t="shared" si="0"/>
        <v>1100</v>
      </c>
      <c r="H35" s="53">
        <f t="shared" si="3"/>
        <v>66</v>
      </c>
      <c r="I35" s="53">
        <f t="shared" si="1"/>
        <v>277.42</v>
      </c>
      <c r="J35" s="53">
        <f t="shared" si="2"/>
        <v>1856.58</v>
      </c>
    </row>
    <row r="36" spans="2:10" ht="15.6" x14ac:dyDescent="0.3">
      <c r="B36" s="53" t="s">
        <v>687</v>
      </c>
      <c r="C36" s="53" t="s">
        <v>500</v>
      </c>
      <c r="D36" s="53">
        <v>1</v>
      </c>
      <c r="E36" s="53">
        <v>1.2</v>
      </c>
      <c r="F36" s="53">
        <v>1200</v>
      </c>
      <c r="G36" s="53">
        <f t="shared" si="0"/>
        <v>1440</v>
      </c>
      <c r="H36" s="53">
        <f t="shared" si="3"/>
        <v>72</v>
      </c>
      <c r="I36" s="53">
        <f t="shared" si="1"/>
        <v>333.84000000000003</v>
      </c>
      <c r="J36" s="53">
        <f t="shared" si="2"/>
        <v>2234.16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69A7-0D63-425D-8864-848559E687C7}">
  <dimension ref="B2:I41"/>
  <sheetViews>
    <sheetView workbookViewId="0"/>
  </sheetViews>
  <sheetFormatPr defaultColWidth="9.109375" defaultRowHeight="14.4" x14ac:dyDescent="0.3"/>
  <cols>
    <col min="1" max="1" width="3.6640625" style="1" customWidth="1"/>
    <col min="2" max="9" width="18.88671875" style="1" customWidth="1"/>
    <col min="10" max="16384" width="9.109375" style="1"/>
  </cols>
  <sheetData>
    <row r="2" spans="2:9" ht="18" x14ac:dyDescent="0.35">
      <c r="B2" s="2" t="s">
        <v>9</v>
      </c>
    </row>
    <row r="3" spans="2:9" ht="18" x14ac:dyDescent="0.35">
      <c r="B3" s="3" t="s">
        <v>688</v>
      </c>
    </row>
    <row r="4" spans="2:9" ht="18" x14ac:dyDescent="0.35">
      <c r="B4" s="3" t="s">
        <v>689</v>
      </c>
    </row>
    <row r="5" spans="2:9" ht="18" x14ac:dyDescent="0.35">
      <c r="B5" s="3" t="s">
        <v>691</v>
      </c>
    </row>
    <row r="6" spans="2:9" ht="15" thickBot="1" x14ac:dyDescent="0.35"/>
    <row r="7" spans="2:9" ht="32.4" x14ac:dyDescent="0.3">
      <c r="B7" s="12" t="s">
        <v>23</v>
      </c>
      <c r="C7" s="13" t="s">
        <v>24</v>
      </c>
      <c r="D7" s="13" t="s">
        <v>25</v>
      </c>
      <c r="E7" s="97" t="s">
        <v>26</v>
      </c>
      <c r="F7" s="13" t="s">
        <v>27</v>
      </c>
      <c r="G7" s="97" t="s">
        <v>690</v>
      </c>
      <c r="H7" s="98" t="s">
        <v>29</v>
      </c>
      <c r="I7" s="99" t="s">
        <v>28</v>
      </c>
    </row>
    <row r="8" spans="2:9" ht="15" x14ac:dyDescent="0.3">
      <c r="B8" s="100" t="s">
        <v>63</v>
      </c>
      <c r="C8" s="25" t="s">
        <v>51</v>
      </c>
      <c r="D8" s="25">
        <v>34</v>
      </c>
      <c r="E8" s="94">
        <v>203456</v>
      </c>
      <c r="F8" s="95" t="str">
        <f t="shared" ref="F8:F41" ca="1" si="0">"Жовтень "&amp;YEAR(TODAY())</f>
        <v>Жовтень 2022</v>
      </c>
      <c r="G8" s="94">
        <v>241228.85488</v>
      </c>
      <c r="H8" s="96" t="s">
        <v>35</v>
      </c>
      <c r="I8" s="101">
        <v>37772.854879999999</v>
      </c>
    </row>
    <row r="9" spans="2:9" ht="15" x14ac:dyDescent="0.3">
      <c r="B9" s="100" t="s">
        <v>39</v>
      </c>
      <c r="C9" s="25" t="s">
        <v>33</v>
      </c>
      <c r="D9" s="25">
        <v>76</v>
      </c>
      <c r="E9" s="94">
        <v>426360</v>
      </c>
      <c r="F9" s="95" t="str">
        <f t="shared" ca="1" si="0"/>
        <v>Жовтень 2022</v>
      </c>
      <c r="G9" s="94">
        <v>487293.61407999991</v>
      </c>
      <c r="H9" s="96" t="s">
        <v>35</v>
      </c>
      <c r="I9" s="101">
        <v>60933.614079999912</v>
      </c>
    </row>
    <row r="10" spans="2:9" ht="15" x14ac:dyDescent="0.3">
      <c r="B10" s="100" t="s">
        <v>39</v>
      </c>
      <c r="C10" s="25" t="s">
        <v>49</v>
      </c>
      <c r="D10" s="25">
        <v>34</v>
      </c>
      <c r="E10" s="94">
        <v>286110</v>
      </c>
      <c r="F10" s="95" t="str">
        <f t="shared" ca="1" si="0"/>
        <v>Жовтень 2022</v>
      </c>
      <c r="G10" s="94">
        <v>326896.08448000002</v>
      </c>
      <c r="H10" s="96" t="s">
        <v>35</v>
      </c>
      <c r="I10" s="101">
        <v>40786.08448000002</v>
      </c>
    </row>
    <row r="11" spans="2:9" ht="15" x14ac:dyDescent="0.3">
      <c r="B11" s="100" t="s">
        <v>56</v>
      </c>
      <c r="C11" s="25" t="s">
        <v>31</v>
      </c>
      <c r="D11" s="25">
        <v>54</v>
      </c>
      <c r="E11" s="94">
        <v>484704</v>
      </c>
      <c r="F11" s="95" t="str">
        <f t="shared" ca="1" si="0"/>
        <v>Жовтень 2022</v>
      </c>
      <c r="G11" s="94">
        <v>560789.91791999992</v>
      </c>
      <c r="H11" s="96" t="s">
        <v>35</v>
      </c>
      <c r="I11" s="101">
        <v>76085.91791999992</v>
      </c>
    </row>
    <row r="12" spans="2:9" ht="15" x14ac:dyDescent="0.3">
      <c r="B12" s="100" t="s">
        <v>63</v>
      </c>
      <c r="C12" s="25" t="s">
        <v>51</v>
      </c>
      <c r="D12" s="25">
        <v>25</v>
      </c>
      <c r="E12" s="94">
        <v>135575</v>
      </c>
      <c r="F12" s="95" t="str">
        <f t="shared" ca="1" si="0"/>
        <v>Жовтень 2022</v>
      </c>
      <c r="G12" s="94">
        <v>160093.10999999999</v>
      </c>
      <c r="H12" s="96" t="s">
        <v>37</v>
      </c>
      <c r="I12" s="101">
        <v>24518.11</v>
      </c>
    </row>
    <row r="13" spans="2:9" ht="15" x14ac:dyDescent="0.3">
      <c r="B13" s="100" t="s">
        <v>56</v>
      </c>
      <c r="C13" s="25" t="s">
        <v>51</v>
      </c>
      <c r="D13" s="25">
        <v>45</v>
      </c>
      <c r="E13" s="94">
        <v>420750</v>
      </c>
      <c r="F13" s="95" t="str">
        <f t="shared" ca="1" si="0"/>
        <v>Жовтень 2022</v>
      </c>
      <c r="G13" s="94">
        <v>481751.87399999995</v>
      </c>
      <c r="H13" s="96" t="s">
        <v>37</v>
      </c>
      <c r="I13" s="101">
        <v>61001.873999999953</v>
      </c>
    </row>
    <row r="14" spans="2:9" ht="15" x14ac:dyDescent="0.3">
      <c r="B14" s="100" t="s">
        <v>53</v>
      </c>
      <c r="C14" s="25" t="s">
        <v>47</v>
      </c>
      <c r="D14" s="25">
        <v>25</v>
      </c>
      <c r="E14" s="94">
        <v>163625</v>
      </c>
      <c r="F14" s="95" t="str">
        <f t="shared" ca="1" si="0"/>
        <v>Жовтень 2022</v>
      </c>
      <c r="G14" s="94">
        <v>189299.47500000003</v>
      </c>
      <c r="H14" s="96" t="s">
        <v>30</v>
      </c>
      <c r="I14" s="101">
        <v>25674.475000000035</v>
      </c>
    </row>
    <row r="15" spans="2:9" ht="15" x14ac:dyDescent="0.3">
      <c r="B15" s="100" t="s">
        <v>53</v>
      </c>
      <c r="C15" s="25" t="s">
        <v>48</v>
      </c>
      <c r="D15" s="25">
        <v>45</v>
      </c>
      <c r="E15" s="94">
        <v>336600</v>
      </c>
      <c r="F15" s="95" t="str">
        <f t="shared" ca="1" si="0"/>
        <v>Жовтень 2022</v>
      </c>
      <c r="G15" s="94">
        <v>380568.94200000004</v>
      </c>
      <c r="H15" s="96" t="s">
        <v>30</v>
      </c>
      <c r="I15" s="101">
        <v>43968.942000000039</v>
      </c>
    </row>
    <row r="16" spans="2:9" ht="15" x14ac:dyDescent="0.3">
      <c r="B16" s="100" t="s">
        <v>53</v>
      </c>
      <c r="C16" s="25" t="s">
        <v>33</v>
      </c>
      <c r="D16" s="25">
        <v>67</v>
      </c>
      <c r="E16" s="94">
        <v>451044</v>
      </c>
      <c r="F16" s="95" t="str">
        <f t="shared" ca="1" si="0"/>
        <v>Жовтень 2022</v>
      </c>
      <c r="G16" s="94">
        <v>524019.61743999994</v>
      </c>
      <c r="H16" s="96" t="s">
        <v>30</v>
      </c>
      <c r="I16" s="101">
        <v>72975.617439999944</v>
      </c>
    </row>
    <row r="17" spans="2:9" ht="15" x14ac:dyDescent="0.3">
      <c r="B17" s="100" t="s">
        <v>63</v>
      </c>
      <c r="C17" s="25" t="s">
        <v>36</v>
      </c>
      <c r="D17" s="25">
        <v>54</v>
      </c>
      <c r="E17" s="94">
        <v>282744</v>
      </c>
      <c r="F17" s="95" t="str">
        <f t="shared" ca="1" si="0"/>
        <v>Жовтень 2022</v>
      </c>
      <c r="G17" s="94">
        <v>335419.75745999994</v>
      </c>
      <c r="H17" s="96" t="s">
        <v>30</v>
      </c>
      <c r="I17" s="101">
        <v>52675.757459999935</v>
      </c>
    </row>
    <row r="18" spans="2:9" ht="15" x14ac:dyDescent="0.3">
      <c r="B18" s="100" t="s">
        <v>39</v>
      </c>
      <c r="C18" s="25" t="s">
        <v>48</v>
      </c>
      <c r="D18" s="25">
        <v>67</v>
      </c>
      <c r="E18" s="94">
        <v>338283</v>
      </c>
      <c r="F18" s="95" t="str">
        <f t="shared" ca="1" si="0"/>
        <v>Жовтень 2022</v>
      </c>
      <c r="G18" s="94">
        <v>382809.61712500005</v>
      </c>
      <c r="H18" s="96" t="s">
        <v>30</v>
      </c>
      <c r="I18" s="101">
        <v>44526.617125000048</v>
      </c>
    </row>
    <row r="19" spans="2:9" ht="15" x14ac:dyDescent="0.3">
      <c r="B19" s="100" t="s">
        <v>39</v>
      </c>
      <c r="C19" s="25" t="s">
        <v>40</v>
      </c>
      <c r="D19" s="25">
        <v>45</v>
      </c>
      <c r="E19" s="94">
        <v>328185</v>
      </c>
      <c r="F19" s="95" t="str">
        <f t="shared" ca="1" si="0"/>
        <v>Жовтень 2022</v>
      </c>
      <c r="G19" s="94">
        <v>368693.20800000004</v>
      </c>
      <c r="H19" s="96" t="s">
        <v>30</v>
      </c>
      <c r="I19" s="101">
        <v>40508.208000000042</v>
      </c>
    </row>
    <row r="20" spans="2:9" ht="15" x14ac:dyDescent="0.3">
      <c r="B20" s="100" t="s">
        <v>56</v>
      </c>
      <c r="C20" s="25" t="s">
        <v>49</v>
      </c>
      <c r="D20" s="25">
        <v>26</v>
      </c>
      <c r="E20" s="94">
        <v>243100</v>
      </c>
      <c r="F20" s="95" t="str">
        <f t="shared" ca="1" si="0"/>
        <v>Жовтень 2022</v>
      </c>
      <c r="G20" s="94">
        <v>276576.19391999999</v>
      </c>
      <c r="H20" s="96" t="s">
        <v>30</v>
      </c>
      <c r="I20" s="101">
        <v>33476.193919999991</v>
      </c>
    </row>
    <row r="21" spans="2:9" ht="15" x14ac:dyDescent="0.3">
      <c r="B21" s="100" t="s">
        <v>54</v>
      </c>
      <c r="C21" s="25" t="s">
        <v>48</v>
      </c>
      <c r="D21" s="25">
        <v>34</v>
      </c>
      <c r="E21" s="94">
        <v>247962</v>
      </c>
      <c r="F21" s="95" t="str">
        <f t="shared" ca="1" si="0"/>
        <v>Жовтень 2022</v>
      </c>
      <c r="G21" s="94">
        <v>287322.25673999998</v>
      </c>
      <c r="H21" s="96" t="s">
        <v>30</v>
      </c>
      <c r="I21" s="101">
        <v>39360.256739999983</v>
      </c>
    </row>
    <row r="22" spans="2:9" ht="15" x14ac:dyDescent="0.3">
      <c r="B22" s="100" t="s">
        <v>54</v>
      </c>
      <c r="C22" s="25" t="s">
        <v>52</v>
      </c>
      <c r="D22" s="25">
        <v>67</v>
      </c>
      <c r="E22" s="94">
        <v>538747</v>
      </c>
      <c r="F22" s="95" t="str">
        <f t="shared" ca="1" si="0"/>
        <v>Жовтень 2022</v>
      </c>
      <c r="G22" s="94">
        <v>624322.2980849999</v>
      </c>
      <c r="H22" s="96" t="s">
        <v>30</v>
      </c>
      <c r="I22" s="101">
        <v>85575.2980849999</v>
      </c>
    </row>
    <row r="23" spans="2:9" ht="15" x14ac:dyDescent="0.3">
      <c r="B23" s="100" t="s">
        <v>42</v>
      </c>
      <c r="C23" s="25" t="s">
        <v>49</v>
      </c>
      <c r="D23" s="25">
        <v>36</v>
      </c>
      <c r="E23" s="94">
        <v>336600</v>
      </c>
      <c r="F23" s="95" t="str">
        <f t="shared" ca="1" si="0"/>
        <v>Жовтень 2022</v>
      </c>
      <c r="G23" s="94">
        <v>390022.29863999999</v>
      </c>
      <c r="H23" s="96" t="s">
        <v>30</v>
      </c>
      <c r="I23" s="101">
        <v>53422.298639999994</v>
      </c>
    </row>
    <row r="24" spans="2:9" ht="15" x14ac:dyDescent="0.3">
      <c r="B24" s="100" t="s">
        <v>55</v>
      </c>
      <c r="C24" s="25" t="s">
        <v>49</v>
      </c>
      <c r="D24" s="25">
        <v>32</v>
      </c>
      <c r="E24" s="94">
        <v>233376</v>
      </c>
      <c r="F24" s="95" t="str">
        <f t="shared" ca="1" si="0"/>
        <v>Жовтень 2022</v>
      </c>
      <c r="G24" s="94">
        <v>263996.51199999999</v>
      </c>
      <c r="H24" s="96" t="s">
        <v>30</v>
      </c>
      <c r="I24" s="101">
        <v>30620.511999999988</v>
      </c>
    </row>
    <row r="25" spans="2:9" ht="15" x14ac:dyDescent="0.3">
      <c r="B25" s="100" t="s">
        <v>53</v>
      </c>
      <c r="C25" s="25" t="s">
        <v>31</v>
      </c>
      <c r="D25" s="25">
        <v>56</v>
      </c>
      <c r="E25" s="94">
        <v>366520</v>
      </c>
      <c r="F25" s="95" t="str">
        <f t="shared" ca="1" si="0"/>
        <v>Жовтень 2022</v>
      </c>
      <c r="G25" s="94">
        <v>424740.90623999998</v>
      </c>
      <c r="H25" s="96" t="s">
        <v>32</v>
      </c>
      <c r="I25" s="101">
        <v>58220.906239999982</v>
      </c>
    </row>
    <row r="26" spans="2:9" ht="15" x14ac:dyDescent="0.3">
      <c r="B26" s="100" t="s">
        <v>63</v>
      </c>
      <c r="C26" s="25" t="s">
        <v>47</v>
      </c>
      <c r="D26" s="25">
        <v>34</v>
      </c>
      <c r="E26" s="94">
        <v>190740</v>
      </c>
      <c r="F26" s="95" t="str">
        <f t="shared" ca="1" si="0"/>
        <v>Жовтень 2022</v>
      </c>
      <c r="G26" s="94">
        <v>217945.39648000002</v>
      </c>
      <c r="H26" s="96" t="s">
        <v>32</v>
      </c>
      <c r="I26" s="101">
        <v>27205.396480000025</v>
      </c>
    </row>
    <row r="27" spans="2:9" ht="15" x14ac:dyDescent="0.3">
      <c r="B27" s="100" t="s">
        <v>56</v>
      </c>
      <c r="C27" s="25" t="s">
        <v>52</v>
      </c>
      <c r="D27" s="25">
        <v>65</v>
      </c>
      <c r="E27" s="94">
        <v>559130</v>
      </c>
      <c r="F27" s="95" t="str">
        <f t="shared" ca="1" si="0"/>
        <v>Жовтень 2022</v>
      </c>
      <c r="G27" s="94">
        <v>647930.39512499992</v>
      </c>
      <c r="H27" s="96" t="s">
        <v>32</v>
      </c>
      <c r="I27" s="101">
        <v>88800.395124999923</v>
      </c>
    </row>
    <row r="28" spans="2:9" ht="15" x14ac:dyDescent="0.3">
      <c r="B28" s="100" t="s">
        <v>54</v>
      </c>
      <c r="C28" s="25" t="s">
        <v>48</v>
      </c>
      <c r="D28" s="25">
        <v>32</v>
      </c>
      <c r="E28" s="94">
        <v>215424</v>
      </c>
      <c r="F28" s="95" t="str">
        <f t="shared" ca="1" si="0"/>
        <v>Жовтень 2022</v>
      </c>
      <c r="G28" s="94">
        <v>246129.62303999998</v>
      </c>
      <c r="H28" s="96" t="s">
        <v>32</v>
      </c>
      <c r="I28" s="101">
        <v>30705.623039999977</v>
      </c>
    </row>
    <row r="29" spans="2:9" ht="15" x14ac:dyDescent="0.3">
      <c r="B29" s="100" t="s">
        <v>54</v>
      </c>
      <c r="C29" s="25" t="s">
        <v>48</v>
      </c>
      <c r="D29" s="25">
        <v>34</v>
      </c>
      <c r="E29" s="94">
        <v>267036</v>
      </c>
      <c r="F29" s="95" t="str">
        <f t="shared" ca="1" si="0"/>
        <v>Жовтень 2022</v>
      </c>
      <c r="G29" s="94">
        <v>309421.39313999994</v>
      </c>
      <c r="H29" s="96" t="s">
        <v>32</v>
      </c>
      <c r="I29" s="101">
        <v>42385.393139999942</v>
      </c>
    </row>
    <row r="30" spans="2:9" ht="15" x14ac:dyDescent="0.3">
      <c r="B30" s="100" t="s">
        <v>42</v>
      </c>
      <c r="C30" s="25" t="s">
        <v>47</v>
      </c>
      <c r="D30" s="25">
        <v>34</v>
      </c>
      <c r="E30" s="94">
        <v>305184</v>
      </c>
      <c r="F30" s="95" t="str">
        <f t="shared" ca="1" si="0"/>
        <v>Жовтень 2022</v>
      </c>
      <c r="G30" s="94">
        <v>348686.22207999998</v>
      </c>
      <c r="H30" s="96" t="s">
        <v>32</v>
      </c>
      <c r="I30" s="101">
        <v>43502.222079999978</v>
      </c>
    </row>
    <row r="31" spans="2:9" ht="15" x14ac:dyDescent="0.3">
      <c r="B31" s="100" t="s">
        <v>63</v>
      </c>
      <c r="C31" s="25" t="s">
        <v>36</v>
      </c>
      <c r="D31" s="25">
        <v>36</v>
      </c>
      <c r="E31" s="94">
        <v>228888</v>
      </c>
      <c r="F31" s="95" t="str">
        <f t="shared" ca="1" si="0"/>
        <v>Жовтень 2022</v>
      </c>
      <c r="G31" s="94">
        <v>265227.17543999996</v>
      </c>
      <c r="H31" s="96" t="s">
        <v>38</v>
      </c>
      <c r="I31" s="101">
        <v>36339.175439999963</v>
      </c>
    </row>
    <row r="32" spans="2:9" ht="15" x14ac:dyDescent="0.3">
      <c r="B32" s="100" t="s">
        <v>63</v>
      </c>
      <c r="C32" s="25" t="s">
        <v>31</v>
      </c>
      <c r="D32" s="25">
        <v>43</v>
      </c>
      <c r="E32" s="94">
        <v>249271</v>
      </c>
      <c r="F32" s="95" t="str">
        <f t="shared" ca="1" si="0"/>
        <v>Жовтень 2022</v>
      </c>
      <c r="G32" s="94">
        <v>294357.39095999999</v>
      </c>
      <c r="H32" s="96" t="s">
        <v>38</v>
      </c>
      <c r="I32" s="101">
        <v>45086.39095999999</v>
      </c>
    </row>
    <row r="33" spans="2:9" ht="15" x14ac:dyDescent="0.3">
      <c r="B33" s="100" t="s">
        <v>54</v>
      </c>
      <c r="C33" s="25" t="s">
        <v>36</v>
      </c>
      <c r="D33" s="25">
        <v>32</v>
      </c>
      <c r="E33" s="94">
        <v>209440</v>
      </c>
      <c r="F33" s="95" t="str">
        <f t="shared" ca="1" si="0"/>
        <v>Жовтень 2022</v>
      </c>
      <c r="G33" s="94">
        <v>236296.44799999997</v>
      </c>
      <c r="H33" s="96" t="s">
        <v>38</v>
      </c>
      <c r="I33" s="101">
        <v>26856.447999999975</v>
      </c>
    </row>
    <row r="34" spans="2:9" ht="15" x14ac:dyDescent="0.3">
      <c r="B34" s="100" t="s">
        <v>55</v>
      </c>
      <c r="C34" s="25" t="s">
        <v>47</v>
      </c>
      <c r="D34" s="25">
        <v>45</v>
      </c>
      <c r="E34" s="94">
        <v>311355</v>
      </c>
      <c r="F34" s="95" t="str">
        <f t="shared" ca="1" si="0"/>
        <v>Жовтень 2022</v>
      </c>
      <c r="G34" s="94">
        <v>360234.02699999994</v>
      </c>
      <c r="H34" s="96" t="s">
        <v>38</v>
      </c>
      <c r="I34" s="101">
        <v>48879.026999999944</v>
      </c>
    </row>
    <row r="35" spans="2:9" ht="15" x14ac:dyDescent="0.3">
      <c r="B35" s="100" t="s">
        <v>53</v>
      </c>
      <c r="C35" s="25" t="s">
        <v>50</v>
      </c>
      <c r="D35" s="25">
        <v>54</v>
      </c>
      <c r="E35" s="94">
        <v>383724</v>
      </c>
      <c r="F35" s="95" t="str">
        <f t="shared" ca="1" si="0"/>
        <v>Жовтень 2022</v>
      </c>
      <c r="G35" s="94">
        <v>449474.46911999991</v>
      </c>
      <c r="H35" s="96" t="s">
        <v>34</v>
      </c>
      <c r="I35" s="101">
        <v>65750.469119999907</v>
      </c>
    </row>
    <row r="36" spans="2:9" ht="15" x14ac:dyDescent="0.3">
      <c r="B36" s="100" t="s">
        <v>63</v>
      </c>
      <c r="C36" s="25" t="s">
        <v>33</v>
      </c>
      <c r="D36" s="25">
        <v>34</v>
      </c>
      <c r="E36" s="94">
        <v>190740</v>
      </c>
      <c r="F36" s="95" t="str">
        <f t="shared" ca="1" si="0"/>
        <v>Жовтень 2022</v>
      </c>
      <c r="G36" s="94">
        <v>220681.46351999999</v>
      </c>
      <c r="H36" s="96" t="s">
        <v>34</v>
      </c>
      <c r="I36" s="101">
        <v>29941.46351999999</v>
      </c>
    </row>
    <row r="37" spans="2:9" ht="15" x14ac:dyDescent="0.3">
      <c r="B37" s="100" t="s">
        <v>56</v>
      </c>
      <c r="C37" s="25" t="s">
        <v>33</v>
      </c>
      <c r="D37" s="25">
        <v>67</v>
      </c>
      <c r="E37" s="94">
        <v>601392</v>
      </c>
      <c r="F37" s="95" t="str">
        <f t="shared" ca="1" si="0"/>
        <v>Жовтень 2022</v>
      </c>
      <c r="G37" s="94">
        <v>704437.93567999988</v>
      </c>
      <c r="H37" s="96" t="s">
        <v>34</v>
      </c>
      <c r="I37" s="101">
        <v>103045.93567999988</v>
      </c>
    </row>
    <row r="38" spans="2:9" ht="15" x14ac:dyDescent="0.3">
      <c r="B38" s="100" t="s">
        <v>54</v>
      </c>
      <c r="C38" s="25" t="s">
        <v>51</v>
      </c>
      <c r="D38" s="25">
        <v>56</v>
      </c>
      <c r="E38" s="94">
        <v>492184</v>
      </c>
      <c r="F38" s="95" t="str">
        <f t="shared" ca="1" si="0"/>
        <v>Жовтень 2022</v>
      </c>
      <c r="G38" s="94">
        <v>555330.94400000002</v>
      </c>
      <c r="H38" s="96" t="s">
        <v>34</v>
      </c>
      <c r="I38" s="101">
        <v>63146.944000000018</v>
      </c>
    </row>
    <row r="39" spans="2:9" ht="15" x14ac:dyDescent="0.3">
      <c r="B39" s="100" t="s">
        <v>55</v>
      </c>
      <c r="C39" s="25" t="s">
        <v>48</v>
      </c>
      <c r="D39" s="25">
        <v>45</v>
      </c>
      <c r="E39" s="94">
        <v>336600</v>
      </c>
      <c r="F39" s="95" t="str">
        <f t="shared" ca="1" si="0"/>
        <v>Жовтень 2022</v>
      </c>
      <c r="G39" s="94">
        <v>384589.67399999994</v>
      </c>
      <c r="H39" s="96" t="s">
        <v>43</v>
      </c>
      <c r="I39" s="101">
        <v>47989.673999999941</v>
      </c>
    </row>
    <row r="40" spans="2:9" ht="15" x14ac:dyDescent="0.3">
      <c r="B40" s="100" t="s">
        <v>56</v>
      </c>
      <c r="C40" s="25" t="s">
        <v>47</v>
      </c>
      <c r="D40" s="25">
        <v>56</v>
      </c>
      <c r="E40" s="94">
        <v>492184</v>
      </c>
      <c r="F40" s="95" t="str">
        <f t="shared" ca="1" si="0"/>
        <v>Жовтень 2022</v>
      </c>
      <c r="G40" s="94">
        <v>562360.56575999991</v>
      </c>
      <c r="H40" s="96" t="s">
        <v>41</v>
      </c>
      <c r="I40" s="101">
        <v>70176.56575999991</v>
      </c>
    </row>
    <row r="41" spans="2:9" ht="15.6" thickBot="1" x14ac:dyDescent="0.35">
      <c r="B41" s="102" t="s">
        <v>54</v>
      </c>
      <c r="C41" s="103" t="s">
        <v>31</v>
      </c>
      <c r="D41" s="103">
        <v>45</v>
      </c>
      <c r="E41" s="104">
        <v>387090</v>
      </c>
      <c r="F41" s="105" t="str">
        <f t="shared" ca="1" si="0"/>
        <v>Жовтень 2022</v>
      </c>
      <c r="G41" s="104">
        <v>447844.27499999997</v>
      </c>
      <c r="H41" s="106" t="s">
        <v>41</v>
      </c>
      <c r="I41" s="107">
        <v>60754.274999999965</v>
      </c>
    </row>
  </sheetData>
  <sortState xmlns:xlrd2="http://schemas.microsoft.com/office/spreadsheetml/2017/richdata2" ref="B8:I41">
    <sortCondition ref="H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4687-22EA-4B53-A150-CD759E53B9F4}">
  <dimension ref="B2:M330"/>
  <sheetViews>
    <sheetView zoomScaleNormal="100" workbookViewId="0"/>
  </sheetViews>
  <sheetFormatPr defaultColWidth="8.6640625" defaultRowHeight="14.4" x14ac:dyDescent="0.3"/>
  <cols>
    <col min="1" max="1" width="3.5546875" style="1" customWidth="1"/>
    <col min="2" max="2" width="23.5546875" style="1" bestFit="1" customWidth="1"/>
    <col min="3" max="3" width="14.109375" style="1" bestFit="1" customWidth="1"/>
    <col min="4" max="4" width="8.88671875" style="1" bestFit="1" customWidth="1"/>
    <col min="5" max="5" width="20" style="1" customWidth="1"/>
    <col min="6" max="6" width="15.33203125" style="1" customWidth="1"/>
    <col min="7" max="7" width="10" style="1" customWidth="1"/>
    <col min="8" max="8" width="16.33203125" style="1" customWidth="1"/>
    <col min="9" max="9" width="14.5546875" style="1" customWidth="1"/>
    <col min="10" max="10" width="15.44140625" style="1" customWidth="1"/>
    <col min="11" max="11" width="21.88671875" style="1" bestFit="1" customWidth="1"/>
    <col min="12" max="12" width="4.6640625" style="1" customWidth="1"/>
    <col min="13" max="16384" width="8.6640625" style="1"/>
  </cols>
  <sheetData>
    <row r="2" spans="2:13" ht="18" x14ac:dyDescent="0.35">
      <c r="B2" s="2" t="s">
        <v>9</v>
      </c>
    </row>
    <row r="3" spans="2:13" ht="18" x14ac:dyDescent="0.35">
      <c r="B3" s="3" t="s">
        <v>731</v>
      </c>
    </row>
    <row r="4" spans="2:13" ht="18" x14ac:dyDescent="0.35">
      <c r="B4" s="143" t="s">
        <v>741</v>
      </c>
      <c r="C4" s="30"/>
    </row>
    <row r="5" spans="2:13" ht="18" x14ac:dyDescent="0.35">
      <c r="B5" s="3"/>
    </row>
    <row r="6" spans="2:13" ht="18" x14ac:dyDescent="0.35">
      <c r="B6" s="3" t="s">
        <v>693</v>
      </c>
    </row>
    <row r="7" spans="2:13" ht="18" x14ac:dyDescent="0.35">
      <c r="B7" s="3"/>
    </row>
    <row r="8" spans="2:13" ht="18" x14ac:dyDescent="0.35">
      <c r="B8" s="3" t="s">
        <v>732</v>
      </c>
    </row>
    <row r="9" spans="2:13" ht="18" x14ac:dyDescent="0.35">
      <c r="B9" s="3"/>
    </row>
    <row r="10" spans="2:13" ht="18" x14ac:dyDescent="0.35">
      <c r="B10" s="3" t="s">
        <v>692</v>
      </c>
    </row>
    <row r="11" spans="2:13" ht="18.600000000000001" thickBot="1" x14ac:dyDescent="0.35">
      <c r="B11" s="23"/>
    </row>
    <row r="12" spans="2:13" ht="32.4" x14ac:dyDescent="0.3">
      <c r="B12" s="124" t="s">
        <v>241</v>
      </c>
      <c r="C12" s="125" t="s">
        <v>260</v>
      </c>
      <c r="D12" s="125" t="s">
        <v>261</v>
      </c>
      <c r="E12" s="125" t="s">
        <v>24</v>
      </c>
      <c r="F12" s="125" t="s">
        <v>262</v>
      </c>
      <c r="G12" s="125" t="s">
        <v>263</v>
      </c>
      <c r="H12" s="124" t="s">
        <v>264</v>
      </c>
      <c r="I12" s="125" t="s">
        <v>265</v>
      </c>
      <c r="J12" s="125" t="s">
        <v>266</v>
      </c>
      <c r="K12" s="14" t="s">
        <v>267</v>
      </c>
    </row>
    <row r="13" spans="2:13" ht="15" x14ac:dyDescent="0.3">
      <c r="B13" s="126" t="s">
        <v>268</v>
      </c>
      <c r="C13" s="127" t="s">
        <v>269</v>
      </c>
      <c r="D13" s="127">
        <v>2800</v>
      </c>
      <c r="E13" s="127" t="s">
        <v>270</v>
      </c>
      <c r="F13" s="127">
        <v>34</v>
      </c>
      <c r="G13" s="127">
        <v>3</v>
      </c>
      <c r="H13" s="127">
        <v>95200</v>
      </c>
      <c r="I13" s="127">
        <v>8400</v>
      </c>
      <c r="J13" s="128">
        <v>43466</v>
      </c>
      <c r="K13" s="129" t="s">
        <v>680</v>
      </c>
    </row>
    <row r="14" spans="2:13" ht="15.6" x14ac:dyDescent="0.3">
      <c r="B14" s="130" t="s">
        <v>271</v>
      </c>
      <c r="C14" s="131" t="s">
        <v>272</v>
      </c>
      <c r="D14" s="131">
        <v>3880</v>
      </c>
      <c r="E14" s="132" t="s">
        <v>273</v>
      </c>
      <c r="F14" s="131">
        <v>24</v>
      </c>
      <c r="G14" s="131">
        <v>1</v>
      </c>
      <c r="H14" s="131">
        <v>93120</v>
      </c>
      <c r="I14" s="131">
        <v>3880</v>
      </c>
      <c r="J14" s="133">
        <v>43468</v>
      </c>
      <c r="K14" s="134" t="s">
        <v>488</v>
      </c>
      <c r="M14" s="30"/>
    </row>
    <row r="15" spans="2:13" ht="15.6" x14ac:dyDescent="0.3">
      <c r="B15" s="126" t="s">
        <v>268</v>
      </c>
      <c r="C15" s="135" t="s">
        <v>269</v>
      </c>
      <c r="D15" s="135">
        <v>2800</v>
      </c>
      <c r="E15" s="127" t="s">
        <v>273</v>
      </c>
      <c r="F15" s="135">
        <v>38</v>
      </c>
      <c r="G15" s="135">
        <v>3</v>
      </c>
      <c r="H15" s="135">
        <v>106400</v>
      </c>
      <c r="I15" s="135">
        <v>8400</v>
      </c>
      <c r="J15" s="136">
        <v>43471</v>
      </c>
      <c r="K15" s="137" t="s">
        <v>680</v>
      </c>
      <c r="M15" s="30"/>
    </row>
    <row r="16" spans="2:13" ht="15.6" x14ac:dyDescent="0.3">
      <c r="B16" s="130" t="s">
        <v>274</v>
      </c>
      <c r="C16" s="131" t="s">
        <v>275</v>
      </c>
      <c r="D16" s="131">
        <v>900</v>
      </c>
      <c r="E16" s="132" t="s">
        <v>276</v>
      </c>
      <c r="F16" s="131">
        <v>13</v>
      </c>
      <c r="G16" s="131">
        <v>3</v>
      </c>
      <c r="H16" s="131">
        <v>11700</v>
      </c>
      <c r="I16" s="131">
        <v>2700</v>
      </c>
      <c r="J16" s="133">
        <v>43472</v>
      </c>
      <c r="K16" s="134" t="s">
        <v>666</v>
      </c>
      <c r="M16" s="30"/>
    </row>
    <row r="17" spans="2:13" ht="15.6" x14ac:dyDescent="0.3">
      <c r="B17" s="126" t="s">
        <v>274</v>
      </c>
      <c r="C17" s="135" t="s">
        <v>277</v>
      </c>
      <c r="D17" s="135">
        <v>2500</v>
      </c>
      <c r="E17" s="127" t="s">
        <v>273</v>
      </c>
      <c r="F17" s="135">
        <v>26</v>
      </c>
      <c r="G17" s="135">
        <v>0</v>
      </c>
      <c r="H17" s="135">
        <v>65000</v>
      </c>
      <c r="I17" s="135">
        <v>0</v>
      </c>
      <c r="J17" s="136">
        <v>43473</v>
      </c>
      <c r="K17" s="137" t="s">
        <v>666</v>
      </c>
      <c r="M17" s="30"/>
    </row>
    <row r="18" spans="2:13" ht="15.6" x14ac:dyDescent="0.3">
      <c r="B18" s="130" t="s">
        <v>278</v>
      </c>
      <c r="C18" s="131" t="s">
        <v>275</v>
      </c>
      <c r="D18" s="131">
        <v>3900</v>
      </c>
      <c r="E18" s="132" t="s">
        <v>270</v>
      </c>
      <c r="F18" s="131">
        <v>46</v>
      </c>
      <c r="G18" s="131">
        <v>4</v>
      </c>
      <c r="H18" s="131">
        <v>179400</v>
      </c>
      <c r="I18" s="131">
        <v>15600</v>
      </c>
      <c r="J18" s="133">
        <v>43473</v>
      </c>
      <c r="K18" s="134" t="s">
        <v>488</v>
      </c>
    </row>
    <row r="19" spans="2:13" ht="15.6" x14ac:dyDescent="0.3">
      <c r="B19" s="126" t="s">
        <v>279</v>
      </c>
      <c r="C19" s="135" t="s">
        <v>280</v>
      </c>
      <c r="D19" s="135">
        <v>1100</v>
      </c>
      <c r="E19" s="127" t="s">
        <v>281</v>
      </c>
      <c r="F19" s="135">
        <v>20</v>
      </c>
      <c r="G19" s="135">
        <v>3</v>
      </c>
      <c r="H19" s="135">
        <v>22000</v>
      </c>
      <c r="I19" s="135">
        <v>3300</v>
      </c>
      <c r="J19" s="136">
        <v>43475</v>
      </c>
      <c r="K19" s="137" t="s">
        <v>687</v>
      </c>
    </row>
    <row r="20" spans="2:13" ht="15.6" x14ac:dyDescent="0.3">
      <c r="B20" s="130" t="s">
        <v>282</v>
      </c>
      <c r="C20" s="131" t="s">
        <v>283</v>
      </c>
      <c r="D20" s="131">
        <v>2360</v>
      </c>
      <c r="E20" s="132" t="s">
        <v>270</v>
      </c>
      <c r="F20" s="131">
        <v>20</v>
      </c>
      <c r="G20" s="131">
        <v>3</v>
      </c>
      <c r="H20" s="131">
        <v>47200</v>
      </c>
      <c r="I20" s="131">
        <v>7080</v>
      </c>
      <c r="J20" s="133">
        <v>43478</v>
      </c>
      <c r="K20" s="134" t="s">
        <v>680</v>
      </c>
    </row>
    <row r="21" spans="2:13" ht="15.6" x14ac:dyDescent="0.3">
      <c r="B21" s="126" t="s">
        <v>282</v>
      </c>
      <c r="C21" s="135" t="s">
        <v>284</v>
      </c>
      <c r="D21" s="135">
        <v>4850</v>
      </c>
      <c r="E21" s="127" t="s">
        <v>276</v>
      </c>
      <c r="F21" s="135">
        <v>24</v>
      </c>
      <c r="G21" s="135">
        <v>1</v>
      </c>
      <c r="H21" s="135">
        <v>116400</v>
      </c>
      <c r="I21" s="135">
        <v>4850</v>
      </c>
      <c r="J21" s="136">
        <v>43478</v>
      </c>
      <c r="K21" s="137" t="s">
        <v>498</v>
      </c>
    </row>
    <row r="22" spans="2:13" ht="15.6" x14ac:dyDescent="0.3">
      <c r="B22" s="130" t="s">
        <v>271</v>
      </c>
      <c r="C22" s="131" t="s">
        <v>285</v>
      </c>
      <c r="D22" s="131">
        <v>4100</v>
      </c>
      <c r="E22" s="132" t="s">
        <v>270</v>
      </c>
      <c r="F22" s="131">
        <v>30</v>
      </c>
      <c r="G22" s="131">
        <v>2</v>
      </c>
      <c r="H22" s="131">
        <v>123000</v>
      </c>
      <c r="I22" s="131">
        <v>8200</v>
      </c>
      <c r="J22" s="133">
        <v>43479</v>
      </c>
      <c r="K22" s="134" t="s">
        <v>488</v>
      </c>
    </row>
    <row r="23" spans="2:13" ht="15.6" x14ac:dyDescent="0.3">
      <c r="B23" s="126" t="s">
        <v>282</v>
      </c>
      <c r="C23" s="135" t="s">
        <v>280</v>
      </c>
      <c r="D23" s="135">
        <v>2500</v>
      </c>
      <c r="E23" s="127" t="s">
        <v>286</v>
      </c>
      <c r="F23" s="135">
        <v>49</v>
      </c>
      <c r="G23" s="135">
        <v>2</v>
      </c>
      <c r="H23" s="135">
        <v>122500</v>
      </c>
      <c r="I23" s="135">
        <v>5000</v>
      </c>
      <c r="J23" s="136">
        <v>43480</v>
      </c>
      <c r="K23" s="137" t="s">
        <v>498</v>
      </c>
    </row>
    <row r="24" spans="2:13" ht="15.6" x14ac:dyDescent="0.3">
      <c r="B24" s="130" t="s">
        <v>271</v>
      </c>
      <c r="C24" s="131" t="s">
        <v>285</v>
      </c>
      <c r="D24" s="131">
        <v>4100</v>
      </c>
      <c r="E24" s="132" t="s">
        <v>273</v>
      </c>
      <c r="F24" s="131">
        <v>24</v>
      </c>
      <c r="G24" s="131">
        <v>0</v>
      </c>
      <c r="H24" s="131">
        <v>98400</v>
      </c>
      <c r="I24" s="131">
        <v>0</v>
      </c>
      <c r="J24" s="133">
        <v>43481</v>
      </c>
      <c r="K24" s="134" t="s">
        <v>488</v>
      </c>
    </row>
    <row r="25" spans="2:13" ht="15.6" x14ac:dyDescent="0.3">
      <c r="B25" s="126" t="s">
        <v>268</v>
      </c>
      <c r="C25" s="135" t="s">
        <v>269</v>
      </c>
      <c r="D25" s="135">
        <v>2750</v>
      </c>
      <c r="E25" s="127" t="s">
        <v>276</v>
      </c>
      <c r="F25" s="135">
        <v>23</v>
      </c>
      <c r="G25" s="135">
        <v>0</v>
      </c>
      <c r="H25" s="135">
        <v>63250</v>
      </c>
      <c r="I25" s="135">
        <v>0</v>
      </c>
      <c r="J25" s="136">
        <v>43482</v>
      </c>
      <c r="K25" s="137" t="s">
        <v>680</v>
      </c>
    </row>
    <row r="26" spans="2:13" ht="15.6" x14ac:dyDescent="0.3">
      <c r="B26" s="130" t="s">
        <v>282</v>
      </c>
      <c r="C26" s="131" t="s">
        <v>283</v>
      </c>
      <c r="D26" s="131">
        <v>2400</v>
      </c>
      <c r="E26" s="132" t="s">
        <v>281</v>
      </c>
      <c r="F26" s="131">
        <v>23</v>
      </c>
      <c r="G26" s="131">
        <v>4</v>
      </c>
      <c r="H26" s="131">
        <v>55200</v>
      </c>
      <c r="I26" s="131">
        <v>9600</v>
      </c>
      <c r="J26" s="133">
        <v>43483</v>
      </c>
      <c r="K26" s="134" t="s">
        <v>498</v>
      </c>
    </row>
    <row r="27" spans="2:13" ht="15.6" x14ac:dyDescent="0.3">
      <c r="B27" s="126" t="s">
        <v>274</v>
      </c>
      <c r="C27" s="135" t="s">
        <v>285</v>
      </c>
      <c r="D27" s="135">
        <v>1960</v>
      </c>
      <c r="E27" s="127" t="s">
        <v>287</v>
      </c>
      <c r="F27" s="135">
        <v>33</v>
      </c>
      <c r="G27" s="135">
        <v>0</v>
      </c>
      <c r="H27" s="135">
        <v>64680</v>
      </c>
      <c r="I27" s="135">
        <v>0</v>
      </c>
      <c r="J27" s="136">
        <v>43484</v>
      </c>
      <c r="K27" s="137" t="s">
        <v>488</v>
      </c>
    </row>
    <row r="28" spans="2:13" ht="15.6" x14ac:dyDescent="0.3">
      <c r="B28" s="130" t="s">
        <v>278</v>
      </c>
      <c r="C28" s="131" t="s">
        <v>285</v>
      </c>
      <c r="D28" s="131">
        <v>1800</v>
      </c>
      <c r="E28" s="132" t="s">
        <v>286</v>
      </c>
      <c r="F28" s="131">
        <v>46</v>
      </c>
      <c r="G28" s="131">
        <v>1</v>
      </c>
      <c r="H28" s="131">
        <v>82800</v>
      </c>
      <c r="I28" s="131">
        <v>1800</v>
      </c>
      <c r="J28" s="133">
        <v>43484</v>
      </c>
      <c r="K28" s="134" t="s">
        <v>488</v>
      </c>
    </row>
    <row r="29" spans="2:13" ht="15.6" x14ac:dyDescent="0.3">
      <c r="B29" s="126" t="s">
        <v>271</v>
      </c>
      <c r="C29" s="135" t="s">
        <v>285</v>
      </c>
      <c r="D29" s="135">
        <v>4100</v>
      </c>
      <c r="E29" s="127" t="s">
        <v>287</v>
      </c>
      <c r="F29" s="135">
        <v>27</v>
      </c>
      <c r="G29" s="135">
        <v>4</v>
      </c>
      <c r="H29" s="135">
        <v>110700</v>
      </c>
      <c r="I29" s="135">
        <v>16400</v>
      </c>
      <c r="J29" s="136">
        <v>43485</v>
      </c>
      <c r="K29" s="137" t="s">
        <v>488</v>
      </c>
    </row>
    <row r="30" spans="2:13" ht="15.6" x14ac:dyDescent="0.3">
      <c r="B30" s="130" t="s">
        <v>288</v>
      </c>
      <c r="C30" s="131" t="s">
        <v>289</v>
      </c>
      <c r="D30" s="131">
        <v>1280</v>
      </c>
      <c r="E30" s="132" t="s">
        <v>273</v>
      </c>
      <c r="F30" s="131">
        <v>15</v>
      </c>
      <c r="G30" s="131">
        <v>4</v>
      </c>
      <c r="H30" s="131">
        <v>19200</v>
      </c>
      <c r="I30" s="131">
        <v>5120</v>
      </c>
      <c r="J30" s="133">
        <v>43487</v>
      </c>
      <c r="K30" s="134" t="s">
        <v>666</v>
      </c>
    </row>
    <row r="31" spans="2:13" ht="15.6" x14ac:dyDescent="0.3">
      <c r="B31" s="126" t="s">
        <v>288</v>
      </c>
      <c r="C31" s="135" t="s">
        <v>284</v>
      </c>
      <c r="D31" s="135">
        <v>3380</v>
      </c>
      <c r="E31" s="127" t="s">
        <v>273</v>
      </c>
      <c r="F31" s="135">
        <v>35</v>
      </c>
      <c r="G31" s="135">
        <v>3</v>
      </c>
      <c r="H31" s="135">
        <v>118300</v>
      </c>
      <c r="I31" s="135">
        <v>10140</v>
      </c>
      <c r="J31" s="136">
        <v>43488</v>
      </c>
      <c r="K31" s="137" t="s">
        <v>666</v>
      </c>
    </row>
    <row r="32" spans="2:13" ht="15.6" x14ac:dyDescent="0.3">
      <c r="B32" s="130" t="s">
        <v>271</v>
      </c>
      <c r="C32" s="131" t="s">
        <v>284</v>
      </c>
      <c r="D32" s="131">
        <v>2870</v>
      </c>
      <c r="E32" s="132" t="s">
        <v>273</v>
      </c>
      <c r="F32" s="131">
        <v>11</v>
      </c>
      <c r="G32" s="131">
        <v>2</v>
      </c>
      <c r="H32" s="131">
        <v>31570</v>
      </c>
      <c r="I32" s="131">
        <v>5740</v>
      </c>
      <c r="J32" s="133">
        <v>43488</v>
      </c>
      <c r="K32" s="134" t="s">
        <v>488</v>
      </c>
    </row>
    <row r="33" spans="2:11" ht="15.6" x14ac:dyDescent="0.3">
      <c r="B33" s="126" t="s">
        <v>290</v>
      </c>
      <c r="C33" s="135" t="s">
        <v>284</v>
      </c>
      <c r="D33" s="135">
        <v>1080</v>
      </c>
      <c r="E33" s="127" t="s">
        <v>281</v>
      </c>
      <c r="F33" s="135">
        <v>50</v>
      </c>
      <c r="G33" s="135">
        <v>3</v>
      </c>
      <c r="H33" s="135">
        <v>54000</v>
      </c>
      <c r="I33" s="135">
        <v>3240</v>
      </c>
      <c r="J33" s="136">
        <v>43490</v>
      </c>
      <c r="K33" s="137" t="s">
        <v>666</v>
      </c>
    </row>
    <row r="34" spans="2:11" ht="15.6" x14ac:dyDescent="0.3">
      <c r="B34" s="130" t="s">
        <v>279</v>
      </c>
      <c r="C34" s="131" t="s">
        <v>280</v>
      </c>
      <c r="D34" s="131">
        <v>1100</v>
      </c>
      <c r="E34" s="132" t="s">
        <v>273</v>
      </c>
      <c r="F34" s="131">
        <v>16</v>
      </c>
      <c r="G34" s="131">
        <v>4</v>
      </c>
      <c r="H34" s="131">
        <v>17600</v>
      </c>
      <c r="I34" s="131">
        <v>4400</v>
      </c>
      <c r="J34" s="133">
        <v>43490</v>
      </c>
      <c r="K34" s="134" t="s">
        <v>687</v>
      </c>
    </row>
    <row r="35" spans="2:11" ht="15.6" x14ac:dyDescent="0.3">
      <c r="B35" s="126" t="s">
        <v>271</v>
      </c>
      <c r="C35" s="135" t="s">
        <v>277</v>
      </c>
      <c r="D35" s="135">
        <v>4050</v>
      </c>
      <c r="E35" s="127" t="s">
        <v>287</v>
      </c>
      <c r="F35" s="135">
        <v>16</v>
      </c>
      <c r="G35" s="135">
        <v>4</v>
      </c>
      <c r="H35" s="135">
        <v>64800</v>
      </c>
      <c r="I35" s="135">
        <v>16200</v>
      </c>
      <c r="J35" s="136">
        <v>43491</v>
      </c>
      <c r="K35" s="137" t="s">
        <v>488</v>
      </c>
    </row>
    <row r="36" spans="2:11" ht="15.6" x14ac:dyDescent="0.3">
      <c r="B36" s="130" t="s">
        <v>278</v>
      </c>
      <c r="C36" s="131" t="s">
        <v>275</v>
      </c>
      <c r="D36" s="131">
        <v>3900</v>
      </c>
      <c r="E36" s="132" t="s">
        <v>281</v>
      </c>
      <c r="F36" s="131">
        <v>27</v>
      </c>
      <c r="G36" s="131">
        <v>4</v>
      </c>
      <c r="H36" s="131">
        <v>105300</v>
      </c>
      <c r="I36" s="131">
        <v>15600</v>
      </c>
      <c r="J36" s="133">
        <v>43493</v>
      </c>
      <c r="K36" s="134" t="s">
        <v>488</v>
      </c>
    </row>
    <row r="37" spans="2:11" ht="15.6" x14ac:dyDescent="0.3">
      <c r="B37" s="126" t="s">
        <v>279</v>
      </c>
      <c r="C37" s="135" t="s">
        <v>289</v>
      </c>
      <c r="D37" s="135">
        <v>1750</v>
      </c>
      <c r="E37" s="127" t="s">
        <v>286</v>
      </c>
      <c r="F37" s="135">
        <v>45</v>
      </c>
      <c r="G37" s="135">
        <v>3</v>
      </c>
      <c r="H37" s="135">
        <v>78750</v>
      </c>
      <c r="I37" s="135">
        <v>5250</v>
      </c>
      <c r="J37" s="136">
        <v>43494</v>
      </c>
      <c r="K37" s="137" t="s">
        <v>687</v>
      </c>
    </row>
    <row r="38" spans="2:11" ht="15.6" x14ac:dyDescent="0.3">
      <c r="B38" s="130" t="s">
        <v>274</v>
      </c>
      <c r="C38" s="131" t="s">
        <v>289</v>
      </c>
      <c r="D38" s="131">
        <v>1200</v>
      </c>
      <c r="E38" s="132" t="s">
        <v>286</v>
      </c>
      <c r="F38" s="131">
        <v>10</v>
      </c>
      <c r="G38" s="131">
        <v>1</v>
      </c>
      <c r="H38" s="131">
        <v>12000</v>
      </c>
      <c r="I38" s="131">
        <v>1200</v>
      </c>
      <c r="J38" s="133">
        <v>43497</v>
      </c>
      <c r="K38" s="134" t="s">
        <v>488</v>
      </c>
    </row>
    <row r="39" spans="2:11" ht="15.6" x14ac:dyDescent="0.3">
      <c r="B39" s="126" t="s">
        <v>291</v>
      </c>
      <c r="C39" s="135" t="s">
        <v>289</v>
      </c>
      <c r="D39" s="135">
        <v>4550</v>
      </c>
      <c r="E39" s="127" t="s">
        <v>270</v>
      </c>
      <c r="F39" s="135">
        <v>22</v>
      </c>
      <c r="G39" s="135">
        <v>4</v>
      </c>
      <c r="H39" s="135">
        <v>100100</v>
      </c>
      <c r="I39" s="135">
        <v>18200</v>
      </c>
      <c r="J39" s="136">
        <v>43498</v>
      </c>
      <c r="K39" s="137" t="s">
        <v>666</v>
      </c>
    </row>
    <row r="40" spans="2:11" ht="15.6" x14ac:dyDescent="0.3">
      <c r="B40" s="130" t="s">
        <v>268</v>
      </c>
      <c r="C40" s="131" t="s">
        <v>292</v>
      </c>
      <c r="D40" s="131">
        <v>3750</v>
      </c>
      <c r="E40" s="132" t="s">
        <v>281</v>
      </c>
      <c r="F40" s="131">
        <v>39</v>
      </c>
      <c r="G40" s="131">
        <v>1</v>
      </c>
      <c r="H40" s="131">
        <v>146250</v>
      </c>
      <c r="I40" s="131">
        <v>3750</v>
      </c>
      <c r="J40" s="133">
        <v>43500</v>
      </c>
      <c r="K40" s="134" t="s">
        <v>680</v>
      </c>
    </row>
    <row r="41" spans="2:11" ht="15.6" x14ac:dyDescent="0.3">
      <c r="B41" s="126" t="s">
        <v>282</v>
      </c>
      <c r="C41" s="135" t="s">
        <v>284</v>
      </c>
      <c r="D41" s="135">
        <v>4900</v>
      </c>
      <c r="E41" s="127" t="s">
        <v>281</v>
      </c>
      <c r="F41" s="135">
        <v>48</v>
      </c>
      <c r="G41" s="135">
        <v>0</v>
      </c>
      <c r="H41" s="135">
        <v>235200</v>
      </c>
      <c r="I41" s="135">
        <v>0</v>
      </c>
      <c r="J41" s="136">
        <v>43501</v>
      </c>
      <c r="K41" s="137" t="s">
        <v>498</v>
      </c>
    </row>
    <row r="42" spans="2:11" ht="15.6" x14ac:dyDescent="0.3">
      <c r="B42" s="130" t="s">
        <v>282</v>
      </c>
      <c r="C42" s="131" t="s">
        <v>284</v>
      </c>
      <c r="D42" s="131">
        <v>5000</v>
      </c>
      <c r="E42" s="132" t="s">
        <v>286</v>
      </c>
      <c r="F42" s="131">
        <v>31</v>
      </c>
      <c r="G42" s="131">
        <v>3</v>
      </c>
      <c r="H42" s="131">
        <v>155000</v>
      </c>
      <c r="I42" s="131">
        <v>15000</v>
      </c>
      <c r="J42" s="133">
        <v>43504</v>
      </c>
      <c r="K42" s="134" t="s">
        <v>498</v>
      </c>
    </row>
    <row r="43" spans="2:11" ht="15.6" x14ac:dyDescent="0.3">
      <c r="B43" s="126" t="s">
        <v>271</v>
      </c>
      <c r="C43" s="135" t="s">
        <v>277</v>
      </c>
      <c r="D43" s="135">
        <v>4000</v>
      </c>
      <c r="E43" s="127" t="s">
        <v>276</v>
      </c>
      <c r="F43" s="135">
        <v>24</v>
      </c>
      <c r="G43" s="135">
        <v>1</v>
      </c>
      <c r="H43" s="135">
        <v>96000</v>
      </c>
      <c r="I43" s="135">
        <v>4000</v>
      </c>
      <c r="J43" s="136">
        <v>43505</v>
      </c>
      <c r="K43" s="137" t="s">
        <v>488</v>
      </c>
    </row>
    <row r="44" spans="2:11" ht="15.6" x14ac:dyDescent="0.3">
      <c r="B44" s="130" t="s">
        <v>291</v>
      </c>
      <c r="C44" s="131" t="s">
        <v>277</v>
      </c>
      <c r="D44" s="131">
        <v>10000</v>
      </c>
      <c r="E44" s="132" t="s">
        <v>281</v>
      </c>
      <c r="F44" s="131">
        <v>28</v>
      </c>
      <c r="G44" s="131">
        <v>0</v>
      </c>
      <c r="H44" s="131">
        <v>280000</v>
      </c>
      <c r="I44" s="131">
        <v>0</v>
      </c>
      <c r="J44" s="133">
        <v>43506</v>
      </c>
      <c r="K44" s="134" t="s">
        <v>666</v>
      </c>
    </row>
    <row r="45" spans="2:11" ht="15.6" x14ac:dyDescent="0.3">
      <c r="B45" s="126" t="s">
        <v>291</v>
      </c>
      <c r="C45" s="135" t="s">
        <v>289</v>
      </c>
      <c r="D45" s="135">
        <v>4550</v>
      </c>
      <c r="E45" s="127" t="s">
        <v>287</v>
      </c>
      <c r="F45" s="135">
        <v>41</v>
      </c>
      <c r="G45" s="135">
        <v>4</v>
      </c>
      <c r="H45" s="135">
        <v>186550</v>
      </c>
      <c r="I45" s="135">
        <v>18200</v>
      </c>
      <c r="J45" s="136">
        <v>43506</v>
      </c>
      <c r="K45" s="137" t="s">
        <v>666</v>
      </c>
    </row>
    <row r="46" spans="2:11" ht="15.6" x14ac:dyDescent="0.3">
      <c r="B46" s="130" t="s">
        <v>288</v>
      </c>
      <c r="C46" s="131" t="s">
        <v>277</v>
      </c>
      <c r="D46" s="131">
        <v>2850</v>
      </c>
      <c r="E46" s="132" t="s">
        <v>287</v>
      </c>
      <c r="F46" s="131">
        <v>23</v>
      </c>
      <c r="G46" s="131">
        <v>3</v>
      </c>
      <c r="H46" s="131">
        <v>65550</v>
      </c>
      <c r="I46" s="131">
        <v>8550</v>
      </c>
      <c r="J46" s="133">
        <v>43508</v>
      </c>
      <c r="K46" s="134" t="s">
        <v>666</v>
      </c>
    </row>
    <row r="47" spans="2:11" ht="15.6" x14ac:dyDescent="0.3">
      <c r="B47" s="126" t="s">
        <v>274</v>
      </c>
      <c r="C47" s="135" t="s">
        <v>283</v>
      </c>
      <c r="D47" s="135">
        <v>1600</v>
      </c>
      <c r="E47" s="127" t="s">
        <v>286</v>
      </c>
      <c r="F47" s="135">
        <v>35</v>
      </c>
      <c r="G47" s="135">
        <v>1</v>
      </c>
      <c r="H47" s="135">
        <v>56000</v>
      </c>
      <c r="I47" s="135">
        <v>1600</v>
      </c>
      <c r="J47" s="136">
        <v>43510</v>
      </c>
      <c r="K47" s="137" t="s">
        <v>488</v>
      </c>
    </row>
    <row r="48" spans="2:11" ht="15.6" x14ac:dyDescent="0.3">
      <c r="B48" s="130" t="s">
        <v>279</v>
      </c>
      <c r="C48" s="131" t="s">
        <v>275</v>
      </c>
      <c r="D48" s="131">
        <v>900</v>
      </c>
      <c r="E48" s="132" t="s">
        <v>270</v>
      </c>
      <c r="F48" s="131">
        <v>28</v>
      </c>
      <c r="G48" s="131">
        <v>4</v>
      </c>
      <c r="H48" s="131">
        <v>25200</v>
      </c>
      <c r="I48" s="131">
        <v>3600</v>
      </c>
      <c r="J48" s="133">
        <v>43511</v>
      </c>
      <c r="K48" s="134" t="s">
        <v>687</v>
      </c>
    </row>
    <row r="49" spans="2:11" ht="15.6" x14ac:dyDescent="0.3">
      <c r="B49" s="126" t="s">
        <v>291</v>
      </c>
      <c r="C49" s="135" t="s">
        <v>277</v>
      </c>
      <c r="D49" s="135">
        <v>10250</v>
      </c>
      <c r="E49" s="127" t="s">
        <v>273</v>
      </c>
      <c r="F49" s="135">
        <v>16</v>
      </c>
      <c r="G49" s="135">
        <v>4</v>
      </c>
      <c r="H49" s="135">
        <v>164000</v>
      </c>
      <c r="I49" s="135">
        <v>41000</v>
      </c>
      <c r="J49" s="136">
        <v>43515</v>
      </c>
      <c r="K49" s="137" t="s">
        <v>666</v>
      </c>
    </row>
    <row r="50" spans="2:11" ht="15.6" x14ac:dyDescent="0.3">
      <c r="B50" s="130" t="s">
        <v>278</v>
      </c>
      <c r="C50" s="131" t="s">
        <v>275</v>
      </c>
      <c r="D50" s="131">
        <v>3900</v>
      </c>
      <c r="E50" s="132" t="s">
        <v>287</v>
      </c>
      <c r="F50" s="131">
        <v>38</v>
      </c>
      <c r="G50" s="131">
        <v>4</v>
      </c>
      <c r="H50" s="131">
        <v>148200</v>
      </c>
      <c r="I50" s="131">
        <v>15600</v>
      </c>
      <c r="J50" s="133">
        <v>43515</v>
      </c>
      <c r="K50" s="134" t="s">
        <v>488</v>
      </c>
    </row>
    <row r="51" spans="2:11" ht="15.6" x14ac:dyDescent="0.3">
      <c r="B51" s="126" t="s">
        <v>271</v>
      </c>
      <c r="C51" s="135" t="s">
        <v>277</v>
      </c>
      <c r="D51" s="135">
        <v>4050</v>
      </c>
      <c r="E51" s="127" t="s">
        <v>286</v>
      </c>
      <c r="F51" s="135">
        <v>19</v>
      </c>
      <c r="G51" s="135">
        <v>2</v>
      </c>
      <c r="H51" s="135">
        <v>76950</v>
      </c>
      <c r="I51" s="135">
        <v>8100</v>
      </c>
      <c r="J51" s="136">
        <v>43516</v>
      </c>
      <c r="K51" s="137" t="s">
        <v>488</v>
      </c>
    </row>
    <row r="52" spans="2:11" ht="15.6" x14ac:dyDescent="0.3">
      <c r="B52" s="130" t="s">
        <v>291</v>
      </c>
      <c r="C52" s="131" t="s">
        <v>280</v>
      </c>
      <c r="D52" s="131">
        <v>5400</v>
      </c>
      <c r="E52" s="132" t="s">
        <v>276</v>
      </c>
      <c r="F52" s="131">
        <v>35</v>
      </c>
      <c r="G52" s="131">
        <v>1</v>
      </c>
      <c r="H52" s="131">
        <v>189000</v>
      </c>
      <c r="I52" s="131">
        <v>5400</v>
      </c>
      <c r="J52" s="133">
        <v>43517</v>
      </c>
      <c r="K52" s="134" t="s">
        <v>666</v>
      </c>
    </row>
    <row r="53" spans="2:11" ht="15.6" x14ac:dyDescent="0.3">
      <c r="B53" s="126" t="s">
        <v>274</v>
      </c>
      <c r="C53" s="135" t="s">
        <v>285</v>
      </c>
      <c r="D53" s="135">
        <v>1960</v>
      </c>
      <c r="E53" s="127" t="s">
        <v>270</v>
      </c>
      <c r="F53" s="135">
        <v>20</v>
      </c>
      <c r="G53" s="135">
        <v>3</v>
      </c>
      <c r="H53" s="135">
        <v>39200</v>
      </c>
      <c r="I53" s="135">
        <v>5880</v>
      </c>
      <c r="J53" s="136">
        <v>43517</v>
      </c>
      <c r="K53" s="137" t="s">
        <v>488</v>
      </c>
    </row>
    <row r="54" spans="2:11" ht="15.6" x14ac:dyDescent="0.3">
      <c r="B54" s="130" t="s">
        <v>279</v>
      </c>
      <c r="C54" s="131" t="s">
        <v>284</v>
      </c>
      <c r="D54" s="131">
        <v>2000</v>
      </c>
      <c r="E54" s="132" t="s">
        <v>276</v>
      </c>
      <c r="F54" s="131">
        <v>14</v>
      </c>
      <c r="G54" s="131">
        <v>0</v>
      </c>
      <c r="H54" s="131">
        <v>28000</v>
      </c>
      <c r="I54" s="131">
        <v>0</v>
      </c>
      <c r="J54" s="133">
        <v>43518</v>
      </c>
      <c r="K54" s="134" t="s">
        <v>687</v>
      </c>
    </row>
    <row r="55" spans="2:11" ht="15.6" x14ac:dyDescent="0.3">
      <c r="B55" s="126" t="s">
        <v>293</v>
      </c>
      <c r="C55" s="135" t="s">
        <v>280</v>
      </c>
      <c r="D55" s="135">
        <v>1500</v>
      </c>
      <c r="E55" s="127" t="s">
        <v>281</v>
      </c>
      <c r="F55" s="135">
        <v>25</v>
      </c>
      <c r="G55" s="135">
        <v>1</v>
      </c>
      <c r="H55" s="135">
        <v>37500</v>
      </c>
      <c r="I55" s="135">
        <v>1500</v>
      </c>
      <c r="J55" s="136">
        <v>43518</v>
      </c>
      <c r="K55" s="137" t="s">
        <v>687</v>
      </c>
    </row>
    <row r="56" spans="2:11" ht="15.6" x14ac:dyDescent="0.3">
      <c r="B56" s="130" t="s">
        <v>282</v>
      </c>
      <c r="C56" s="131" t="s">
        <v>275</v>
      </c>
      <c r="D56" s="131">
        <v>1350</v>
      </c>
      <c r="E56" s="132" t="s">
        <v>287</v>
      </c>
      <c r="F56" s="131">
        <v>20</v>
      </c>
      <c r="G56" s="131">
        <v>3</v>
      </c>
      <c r="H56" s="131">
        <v>27000</v>
      </c>
      <c r="I56" s="131">
        <v>4050</v>
      </c>
      <c r="J56" s="133">
        <v>43519</v>
      </c>
      <c r="K56" s="134" t="s">
        <v>498</v>
      </c>
    </row>
    <row r="57" spans="2:11" ht="15.6" x14ac:dyDescent="0.3">
      <c r="B57" s="126" t="s">
        <v>293</v>
      </c>
      <c r="C57" s="135" t="s">
        <v>289</v>
      </c>
      <c r="D57" s="135">
        <v>2000</v>
      </c>
      <c r="E57" s="127" t="s">
        <v>273</v>
      </c>
      <c r="F57" s="135">
        <v>24</v>
      </c>
      <c r="G57" s="135">
        <v>3</v>
      </c>
      <c r="H57" s="135">
        <v>48000</v>
      </c>
      <c r="I57" s="135">
        <v>6000</v>
      </c>
      <c r="J57" s="136">
        <v>43519</v>
      </c>
      <c r="K57" s="137" t="s">
        <v>497</v>
      </c>
    </row>
    <row r="58" spans="2:11" ht="15.6" x14ac:dyDescent="0.3">
      <c r="B58" s="130" t="s">
        <v>293</v>
      </c>
      <c r="C58" s="131" t="s">
        <v>280</v>
      </c>
      <c r="D58" s="131">
        <v>1650</v>
      </c>
      <c r="E58" s="132" t="s">
        <v>270</v>
      </c>
      <c r="F58" s="131">
        <v>30</v>
      </c>
      <c r="G58" s="131">
        <v>1</v>
      </c>
      <c r="H58" s="131">
        <v>49500</v>
      </c>
      <c r="I58" s="131">
        <v>1650</v>
      </c>
      <c r="J58" s="133">
        <v>43520</v>
      </c>
      <c r="K58" s="134" t="s">
        <v>497</v>
      </c>
    </row>
    <row r="59" spans="2:11" ht="15.6" x14ac:dyDescent="0.3">
      <c r="B59" s="126" t="s">
        <v>293</v>
      </c>
      <c r="C59" s="135" t="s">
        <v>280</v>
      </c>
      <c r="D59" s="135">
        <v>1700</v>
      </c>
      <c r="E59" s="127" t="s">
        <v>286</v>
      </c>
      <c r="F59" s="135">
        <v>42</v>
      </c>
      <c r="G59" s="135">
        <v>1</v>
      </c>
      <c r="H59" s="135">
        <v>71400</v>
      </c>
      <c r="I59" s="135">
        <v>1700</v>
      </c>
      <c r="J59" s="136">
        <v>43521</v>
      </c>
      <c r="K59" s="137" t="s">
        <v>497</v>
      </c>
    </row>
    <row r="60" spans="2:11" ht="15.6" x14ac:dyDescent="0.3">
      <c r="B60" s="130" t="s">
        <v>274</v>
      </c>
      <c r="C60" s="131" t="s">
        <v>277</v>
      </c>
      <c r="D60" s="131">
        <v>2500</v>
      </c>
      <c r="E60" s="132" t="s">
        <v>270</v>
      </c>
      <c r="F60" s="131">
        <v>15</v>
      </c>
      <c r="G60" s="131">
        <v>3</v>
      </c>
      <c r="H60" s="131">
        <v>37500</v>
      </c>
      <c r="I60" s="131">
        <v>7500</v>
      </c>
      <c r="J60" s="133">
        <v>43522</v>
      </c>
      <c r="K60" s="134" t="s">
        <v>488</v>
      </c>
    </row>
    <row r="61" spans="2:11" ht="15.6" x14ac:dyDescent="0.3">
      <c r="B61" s="126" t="s">
        <v>274</v>
      </c>
      <c r="C61" s="135" t="s">
        <v>277</v>
      </c>
      <c r="D61" s="135">
        <v>2500</v>
      </c>
      <c r="E61" s="127" t="s">
        <v>287</v>
      </c>
      <c r="F61" s="135">
        <v>44</v>
      </c>
      <c r="G61" s="135">
        <v>0</v>
      </c>
      <c r="H61" s="135">
        <v>110000</v>
      </c>
      <c r="I61" s="135">
        <v>0</v>
      </c>
      <c r="J61" s="136">
        <v>43523</v>
      </c>
      <c r="K61" s="137" t="s">
        <v>488</v>
      </c>
    </row>
    <row r="62" spans="2:11" ht="15.6" x14ac:dyDescent="0.3">
      <c r="B62" s="130" t="s">
        <v>293</v>
      </c>
      <c r="C62" s="131" t="s">
        <v>285</v>
      </c>
      <c r="D62" s="131">
        <v>1750</v>
      </c>
      <c r="E62" s="132" t="s">
        <v>281</v>
      </c>
      <c r="F62" s="131">
        <v>38</v>
      </c>
      <c r="G62" s="131">
        <v>0</v>
      </c>
      <c r="H62" s="131">
        <v>66500</v>
      </c>
      <c r="I62" s="131">
        <v>0</v>
      </c>
      <c r="J62" s="133">
        <v>43524</v>
      </c>
      <c r="K62" s="134" t="s">
        <v>497</v>
      </c>
    </row>
    <row r="63" spans="2:11" ht="15.6" x14ac:dyDescent="0.3">
      <c r="B63" s="126" t="s">
        <v>282</v>
      </c>
      <c r="C63" s="135" t="s">
        <v>280</v>
      </c>
      <c r="D63" s="135">
        <v>2570</v>
      </c>
      <c r="E63" s="127" t="s">
        <v>287</v>
      </c>
      <c r="F63" s="135">
        <v>31</v>
      </c>
      <c r="G63" s="135">
        <v>3</v>
      </c>
      <c r="H63" s="135">
        <v>79670</v>
      </c>
      <c r="I63" s="135">
        <v>7710</v>
      </c>
      <c r="J63" s="136">
        <v>43525</v>
      </c>
      <c r="K63" s="137" t="s">
        <v>498</v>
      </c>
    </row>
    <row r="64" spans="2:11" ht="15.6" x14ac:dyDescent="0.3">
      <c r="B64" s="130" t="s">
        <v>274</v>
      </c>
      <c r="C64" s="131" t="s">
        <v>280</v>
      </c>
      <c r="D64" s="131">
        <v>1650</v>
      </c>
      <c r="E64" s="132" t="s">
        <v>287</v>
      </c>
      <c r="F64" s="131">
        <v>28</v>
      </c>
      <c r="G64" s="131">
        <v>0</v>
      </c>
      <c r="H64" s="131">
        <v>46200</v>
      </c>
      <c r="I64" s="131">
        <v>0</v>
      </c>
      <c r="J64" s="133">
        <v>43526</v>
      </c>
      <c r="K64" s="134" t="s">
        <v>488</v>
      </c>
    </row>
    <row r="65" spans="2:11" ht="15.6" x14ac:dyDescent="0.3">
      <c r="B65" s="126" t="s">
        <v>294</v>
      </c>
      <c r="C65" s="135" t="s">
        <v>275</v>
      </c>
      <c r="D65" s="135">
        <v>1850</v>
      </c>
      <c r="E65" s="127" t="s">
        <v>286</v>
      </c>
      <c r="F65" s="135">
        <v>12</v>
      </c>
      <c r="G65" s="135">
        <v>1</v>
      </c>
      <c r="H65" s="135">
        <v>22200</v>
      </c>
      <c r="I65" s="135">
        <v>1850</v>
      </c>
      <c r="J65" s="136">
        <v>43527</v>
      </c>
      <c r="K65" s="137" t="s">
        <v>666</v>
      </c>
    </row>
    <row r="66" spans="2:11" ht="15.6" x14ac:dyDescent="0.3">
      <c r="B66" s="130" t="s">
        <v>274</v>
      </c>
      <c r="C66" s="131" t="s">
        <v>277</v>
      </c>
      <c r="D66" s="131">
        <v>2500</v>
      </c>
      <c r="E66" s="132" t="s">
        <v>286</v>
      </c>
      <c r="F66" s="131">
        <v>11</v>
      </c>
      <c r="G66" s="131">
        <v>0</v>
      </c>
      <c r="H66" s="131">
        <v>27500</v>
      </c>
      <c r="I66" s="131">
        <v>0</v>
      </c>
      <c r="J66" s="133">
        <v>43527</v>
      </c>
      <c r="K66" s="134" t="s">
        <v>488</v>
      </c>
    </row>
    <row r="67" spans="2:11" ht="15.6" x14ac:dyDescent="0.3">
      <c r="B67" s="126" t="s">
        <v>271</v>
      </c>
      <c r="C67" s="135" t="s">
        <v>277</v>
      </c>
      <c r="D67" s="135">
        <v>4050</v>
      </c>
      <c r="E67" s="127" t="s">
        <v>273</v>
      </c>
      <c r="F67" s="135">
        <v>47</v>
      </c>
      <c r="G67" s="135">
        <v>3</v>
      </c>
      <c r="H67" s="135">
        <v>190350</v>
      </c>
      <c r="I67" s="135">
        <v>12150</v>
      </c>
      <c r="J67" s="136">
        <v>43527</v>
      </c>
      <c r="K67" s="137" t="s">
        <v>488</v>
      </c>
    </row>
    <row r="68" spans="2:11" ht="15.6" x14ac:dyDescent="0.3">
      <c r="B68" s="130" t="s">
        <v>290</v>
      </c>
      <c r="C68" s="131" t="s">
        <v>275</v>
      </c>
      <c r="D68" s="131">
        <v>1200</v>
      </c>
      <c r="E68" s="132" t="s">
        <v>276</v>
      </c>
      <c r="F68" s="131">
        <v>43</v>
      </c>
      <c r="G68" s="131">
        <v>0</v>
      </c>
      <c r="H68" s="131">
        <v>51600</v>
      </c>
      <c r="I68" s="131">
        <v>0</v>
      </c>
      <c r="J68" s="133">
        <v>43529</v>
      </c>
      <c r="K68" s="134" t="s">
        <v>666</v>
      </c>
    </row>
    <row r="69" spans="2:11" ht="15.6" x14ac:dyDescent="0.3">
      <c r="B69" s="126" t="s">
        <v>274</v>
      </c>
      <c r="C69" s="135" t="s">
        <v>285</v>
      </c>
      <c r="D69" s="135">
        <v>2000</v>
      </c>
      <c r="E69" s="127" t="s">
        <v>273</v>
      </c>
      <c r="F69" s="135">
        <v>16</v>
      </c>
      <c r="G69" s="135">
        <v>0</v>
      </c>
      <c r="H69" s="135">
        <v>32000</v>
      </c>
      <c r="I69" s="135">
        <v>0</v>
      </c>
      <c r="J69" s="136">
        <v>43529</v>
      </c>
      <c r="K69" s="137" t="s">
        <v>488</v>
      </c>
    </row>
    <row r="70" spans="2:11" ht="15.6" x14ac:dyDescent="0.3">
      <c r="B70" s="130" t="s">
        <v>278</v>
      </c>
      <c r="C70" s="131" t="s">
        <v>289</v>
      </c>
      <c r="D70" s="131">
        <v>2620</v>
      </c>
      <c r="E70" s="132" t="s">
        <v>273</v>
      </c>
      <c r="F70" s="131">
        <v>25</v>
      </c>
      <c r="G70" s="131">
        <v>0</v>
      </c>
      <c r="H70" s="131">
        <v>65500</v>
      </c>
      <c r="I70" s="131">
        <v>0</v>
      </c>
      <c r="J70" s="133">
        <v>43529</v>
      </c>
      <c r="K70" s="134" t="s">
        <v>488</v>
      </c>
    </row>
    <row r="71" spans="2:11" ht="15.6" x14ac:dyDescent="0.3">
      <c r="B71" s="126" t="s">
        <v>290</v>
      </c>
      <c r="C71" s="135" t="s">
        <v>284</v>
      </c>
      <c r="D71" s="135">
        <v>1100</v>
      </c>
      <c r="E71" s="127" t="s">
        <v>273</v>
      </c>
      <c r="F71" s="135">
        <v>50</v>
      </c>
      <c r="G71" s="135">
        <v>3</v>
      </c>
      <c r="H71" s="135">
        <v>55000</v>
      </c>
      <c r="I71" s="135">
        <v>3300</v>
      </c>
      <c r="J71" s="136">
        <v>43531</v>
      </c>
      <c r="K71" s="137" t="s">
        <v>666</v>
      </c>
    </row>
    <row r="72" spans="2:11" ht="15.6" x14ac:dyDescent="0.3">
      <c r="B72" s="130" t="s">
        <v>282</v>
      </c>
      <c r="C72" s="131" t="s">
        <v>289</v>
      </c>
      <c r="D72" s="131">
        <v>3200</v>
      </c>
      <c r="E72" s="132" t="s">
        <v>276</v>
      </c>
      <c r="F72" s="131">
        <v>32</v>
      </c>
      <c r="G72" s="131">
        <v>0</v>
      </c>
      <c r="H72" s="131">
        <v>102400</v>
      </c>
      <c r="I72" s="131">
        <v>0</v>
      </c>
      <c r="J72" s="133">
        <v>43531</v>
      </c>
      <c r="K72" s="134" t="s">
        <v>498</v>
      </c>
    </row>
    <row r="73" spans="2:11" ht="15.6" x14ac:dyDescent="0.3">
      <c r="B73" s="126" t="s">
        <v>271</v>
      </c>
      <c r="C73" s="135" t="s">
        <v>283</v>
      </c>
      <c r="D73" s="135">
        <v>4550</v>
      </c>
      <c r="E73" s="127" t="s">
        <v>286</v>
      </c>
      <c r="F73" s="135">
        <v>27</v>
      </c>
      <c r="G73" s="135">
        <v>0</v>
      </c>
      <c r="H73" s="135">
        <v>122850</v>
      </c>
      <c r="I73" s="135">
        <v>0</v>
      </c>
      <c r="J73" s="136">
        <v>43532</v>
      </c>
      <c r="K73" s="137" t="s">
        <v>488</v>
      </c>
    </row>
    <row r="74" spans="2:11" ht="15.6" x14ac:dyDescent="0.3">
      <c r="B74" s="130" t="s">
        <v>278</v>
      </c>
      <c r="C74" s="131" t="s">
        <v>289</v>
      </c>
      <c r="D74" s="131">
        <v>2600</v>
      </c>
      <c r="E74" s="132" t="s">
        <v>276</v>
      </c>
      <c r="F74" s="131">
        <v>10</v>
      </c>
      <c r="G74" s="131">
        <v>4</v>
      </c>
      <c r="H74" s="131">
        <v>26000</v>
      </c>
      <c r="I74" s="131">
        <v>10400</v>
      </c>
      <c r="J74" s="133">
        <v>43532</v>
      </c>
      <c r="K74" s="134" t="s">
        <v>488</v>
      </c>
    </row>
    <row r="75" spans="2:11" ht="15.6" x14ac:dyDescent="0.3">
      <c r="B75" s="126" t="s">
        <v>293</v>
      </c>
      <c r="C75" s="135" t="s">
        <v>283</v>
      </c>
      <c r="D75" s="135">
        <v>1350</v>
      </c>
      <c r="E75" s="127" t="s">
        <v>276</v>
      </c>
      <c r="F75" s="135">
        <v>36</v>
      </c>
      <c r="G75" s="135">
        <v>0</v>
      </c>
      <c r="H75" s="135">
        <v>48600</v>
      </c>
      <c r="I75" s="135">
        <v>0</v>
      </c>
      <c r="J75" s="136">
        <v>43532</v>
      </c>
      <c r="K75" s="137" t="s">
        <v>497</v>
      </c>
    </row>
    <row r="76" spans="2:11" ht="15.6" x14ac:dyDescent="0.3">
      <c r="B76" s="130" t="s">
        <v>290</v>
      </c>
      <c r="C76" s="131" t="s">
        <v>284</v>
      </c>
      <c r="D76" s="131">
        <v>1080</v>
      </c>
      <c r="E76" s="132" t="s">
        <v>287</v>
      </c>
      <c r="F76" s="131">
        <v>18</v>
      </c>
      <c r="G76" s="131">
        <v>1</v>
      </c>
      <c r="H76" s="131">
        <v>19440</v>
      </c>
      <c r="I76" s="131">
        <v>1080</v>
      </c>
      <c r="J76" s="133">
        <v>43534</v>
      </c>
      <c r="K76" s="134" t="s">
        <v>666</v>
      </c>
    </row>
    <row r="77" spans="2:11" ht="15.6" x14ac:dyDescent="0.3">
      <c r="B77" s="126" t="s">
        <v>293</v>
      </c>
      <c r="C77" s="135" t="s">
        <v>275</v>
      </c>
      <c r="D77" s="135">
        <v>1350</v>
      </c>
      <c r="E77" s="127" t="s">
        <v>270</v>
      </c>
      <c r="F77" s="135">
        <v>32</v>
      </c>
      <c r="G77" s="135">
        <v>0</v>
      </c>
      <c r="H77" s="135">
        <v>43200</v>
      </c>
      <c r="I77" s="135">
        <v>0</v>
      </c>
      <c r="J77" s="136">
        <v>43535</v>
      </c>
      <c r="K77" s="137" t="s">
        <v>497</v>
      </c>
    </row>
    <row r="78" spans="2:11" ht="15.6" x14ac:dyDescent="0.3">
      <c r="B78" s="130" t="s">
        <v>274</v>
      </c>
      <c r="C78" s="131" t="s">
        <v>280</v>
      </c>
      <c r="D78" s="131">
        <v>1650</v>
      </c>
      <c r="E78" s="132" t="s">
        <v>273</v>
      </c>
      <c r="F78" s="131">
        <v>16</v>
      </c>
      <c r="G78" s="131">
        <v>3</v>
      </c>
      <c r="H78" s="131">
        <v>26400</v>
      </c>
      <c r="I78" s="131">
        <v>4950</v>
      </c>
      <c r="J78" s="133">
        <v>43536</v>
      </c>
      <c r="K78" s="134" t="s">
        <v>488</v>
      </c>
    </row>
    <row r="79" spans="2:11" ht="15.6" x14ac:dyDescent="0.3">
      <c r="B79" s="126" t="s">
        <v>291</v>
      </c>
      <c r="C79" s="135" t="s">
        <v>280</v>
      </c>
      <c r="D79" s="135">
        <v>5490</v>
      </c>
      <c r="E79" s="127" t="s">
        <v>281</v>
      </c>
      <c r="F79" s="135">
        <v>41</v>
      </c>
      <c r="G79" s="135">
        <v>1</v>
      </c>
      <c r="H79" s="135">
        <v>225090</v>
      </c>
      <c r="I79" s="135">
        <v>5490</v>
      </c>
      <c r="J79" s="136">
        <v>43537</v>
      </c>
      <c r="K79" s="137" t="s">
        <v>666</v>
      </c>
    </row>
    <row r="80" spans="2:11" ht="15.6" x14ac:dyDescent="0.3">
      <c r="B80" s="130" t="s">
        <v>274</v>
      </c>
      <c r="C80" s="131" t="s">
        <v>283</v>
      </c>
      <c r="D80" s="131">
        <v>1560</v>
      </c>
      <c r="E80" s="132" t="s">
        <v>287</v>
      </c>
      <c r="F80" s="131">
        <v>18</v>
      </c>
      <c r="G80" s="131">
        <v>1</v>
      </c>
      <c r="H80" s="131">
        <v>28080</v>
      </c>
      <c r="I80" s="131">
        <v>1560</v>
      </c>
      <c r="J80" s="133">
        <v>43539</v>
      </c>
      <c r="K80" s="134" t="s">
        <v>488</v>
      </c>
    </row>
    <row r="81" spans="2:11" ht="15.6" x14ac:dyDescent="0.3">
      <c r="B81" s="126" t="s">
        <v>293</v>
      </c>
      <c r="C81" s="135" t="s">
        <v>283</v>
      </c>
      <c r="D81" s="135">
        <v>1300</v>
      </c>
      <c r="E81" s="127" t="s">
        <v>287</v>
      </c>
      <c r="F81" s="135">
        <v>35</v>
      </c>
      <c r="G81" s="135">
        <v>1</v>
      </c>
      <c r="H81" s="135">
        <v>45500</v>
      </c>
      <c r="I81" s="135">
        <v>1300</v>
      </c>
      <c r="J81" s="136">
        <v>43539</v>
      </c>
      <c r="K81" s="137" t="s">
        <v>497</v>
      </c>
    </row>
    <row r="82" spans="2:11" ht="15.6" x14ac:dyDescent="0.3">
      <c r="B82" s="130" t="s">
        <v>290</v>
      </c>
      <c r="C82" s="131" t="s">
        <v>280</v>
      </c>
      <c r="D82" s="131">
        <v>800</v>
      </c>
      <c r="E82" s="132" t="s">
        <v>270</v>
      </c>
      <c r="F82" s="131">
        <v>17</v>
      </c>
      <c r="G82" s="131">
        <v>1</v>
      </c>
      <c r="H82" s="131">
        <v>13600</v>
      </c>
      <c r="I82" s="131">
        <v>800</v>
      </c>
      <c r="J82" s="133">
        <v>43540</v>
      </c>
      <c r="K82" s="134" t="s">
        <v>666</v>
      </c>
    </row>
    <row r="83" spans="2:11" ht="15.6" x14ac:dyDescent="0.3">
      <c r="B83" s="126" t="s">
        <v>278</v>
      </c>
      <c r="C83" s="135" t="s">
        <v>277</v>
      </c>
      <c r="D83" s="135">
        <v>2500</v>
      </c>
      <c r="E83" s="127" t="s">
        <v>276</v>
      </c>
      <c r="F83" s="135">
        <v>48</v>
      </c>
      <c r="G83" s="135">
        <v>2</v>
      </c>
      <c r="H83" s="135">
        <v>120000</v>
      </c>
      <c r="I83" s="135">
        <v>5000</v>
      </c>
      <c r="J83" s="136">
        <v>43540</v>
      </c>
      <c r="K83" s="137" t="s">
        <v>488</v>
      </c>
    </row>
    <row r="84" spans="2:11" ht="15.6" x14ac:dyDescent="0.3">
      <c r="B84" s="130" t="s">
        <v>290</v>
      </c>
      <c r="C84" s="131" t="s">
        <v>285</v>
      </c>
      <c r="D84" s="131">
        <v>1240</v>
      </c>
      <c r="E84" s="132" t="s">
        <v>286</v>
      </c>
      <c r="F84" s="131">
        <v>27</v>
      </c>
      <c r="G84" s="131">
        <v>0</v>
      </c>
      <c r="H84" s="131">
        <v>33480</v>
      </c>
      <c r="I84" s="131">
        <v>0</v>
      </c>
      <c r="J84" s="133">
        <v>43542</v>
      </c>
      <c r="K84" s="134" t="s">
        <v>666</v>
      </c>
    </row>
    <row r="85" spans="2:11" ht="15.6" x14ac:dyDescent="0.3">
      <c r="B85" s="126" t="s">
        <v>282</v>
      </c>
      <c r="C85" s="135" t="s">
        <v>275</v>
      </c>
      <c r="D85" s="135">
        <v>3180</v>
      </c>
      <c r="E85" s="127" t="s">
        <v>287</v>
      </c>
      <c r="F85" s="135">
        <v>39</v>
      </c>
      <c r="G85" s="135">
        <v>1</v>
      </c>
      <c r="H85" s="135">
        <v>124020</v>
      </c>
      <c r="I85" s="135">
        <v>3180</v>
      </c>
      <c r="J85" s="136">
        <v>43542</v>
      </c>
      <c r="K85" s="137" t="s">
        <v>498</v>
      </c>
    </row>
    <row r="86" spans="2:11" ht="15.6" x14ac:dyDescent="0.3">
      <c r="B86" s="130" t="s">
        <v>274</v>
      </c>
      <c r="C86" s="131" t="s">
        <v>275</v>
      </c>
      <c r="D86" s="131">
        <v>900</v>
      </c>
      <c r="E86" s="132" t="s">
        <v>273</v>
      </c>
      <c r="F86" s="131">
        <v>40</v>
      </c>
      <c r="G86" s="131">
        <v>4</v>
      </c>
      <c r="H86" s="131">
        <v>36000</v>
      </c>
      <c r="I86" s="131">
        <v>3600</v>
      </c>
      <c r="J86" s="133">
        <v>43544</v>
      </c>
      <c r="K86" s="134" t="s">
        <v>488</v>
      </c>
    </row>
    <row r="87" spans="2:11" ht="15.6" x14ac:dyDescent="0.3">
      <c r="B87" s="126" t="s">
        <v>274</v>
      </c>
      <c r="C87" s="135" t="s">
        <v>280</v>
      </c>
      <c r="D87" s="135">
        <v>1700</v>
      </c>
      <c r="E87" s="127" t="s">
        <v>276</v>
      </c>
      <c r="F87" s="135">
        <v>40</v>
      </c>
      <c r="G87" s="135">
        <v>2</v>
      </c>
      <c r="H87" s="135">
        <v>68000</v>
      </c>
      <c r="I87" s="135">
        <v>3400</v>
      </c>
      <c r="J87" s="136">
        <v>43548</v>
      </c>
      <c r="K87" s="137" t="s">
        <v>488</v>
      </c>
    </row>
    <row r="88" spans="2:11" ht="15.6" x14ac:dyDescent="0.3">
      <c r="B88" s="130" t="s">
        <v>274</v>
      </c>
      <c r="C88" s="131" t="s">
        <v>275</v>
      </c>
      <c r="D88" s="131">
        <v>880</v>
      </c>
      <c r="E88" s="132" t="s">
        <v>281</v>
      </c>
      <c r="F88" s="131">
        <v>29</v>
      </c>
      <c r="G88" s="131">
        <v>2</v>
      </c>
      <c r="H88" s="131">
        <v>25520</v>
      </c>
      <c r="I88" s="131">
        <v>1760</v>
      </c>
      <c r="J88" s="133">
        <v>43548</v>
      </c>
      <c r="K88" s="134" t="s">
        <v>488</v>
      </c>
    </row>
    <row r="89" spans="2:11" ht="15.6" x14ac:dyDescent="0.3">
      <c r="B89" s="126" t="s">
        <v>293</v>
      </c>
      <c r="C89" s="135" t="s">
        <v>285</v>
      </c>
      <c r="D89" s="135">
        <v>1800</v>
      </c>
      <c r="E89" s="127" t="s">
        <v>286</v>
      </c>
      <c r="F89" s="135">
        <v>48</v>
      </c>
      <c r="G89" s="135">
        <v>4</v>
      </c>
      <c r="H89" s="135">
        <v>86400</v>
      </c>
      <c r="I89" s="135">
        <v>7200</v>
      </c>
      <c r="J89" s="136">
        <v>43548</v>
      </c>
      <c r="K89" s="137" t="s">
        <v>497</v>
      </c>
    </row>
    <row r="90" spans="2:11" ht="15.6" x14ac:dyDescent="0.3">
      <c r="B90" s="130" t="s">
        <v>278</v>
      </c>
      <c r="C90" s="131" t="s">
        <v>277</v>
      </c>
      <c r="D90" s="131">
        <v>2560</v>
      </c>
      <c r="E90" s="132" t="s">
        <v>270</v>
      </c>
      <c r="F90" s="131">
        <v>15</v>
      </c>
      <c r="G90" s="131">
        <v>0</v>
      </c>
      <c r="H90" s="131">
        <v>38400</v>
      </c>
      <c r="I90" s="131">
        <v>0</v>
      </c>
      <c r="J90" s="133">
        <v>43549</v>
      </c>
      <c r="K90" s="134" t="s">
        <v>488</v>
      </c>
    </row>
    <row r="91" spans="2:11" ht="15.6" x14ac:dyDescent="0.3">
      <c r="B91" s="126" t="s">
        <v>279</v>
      </c>
      <c r="C91" s="135" t="s">
        <v>289</v>
      </c>
      <c r="D91" s="135">
        <v>1750</v>
      </c>
      <c r="E91" s="127" t="s">
        <v>287</v>
      </c>
      <c r="F91" s="135">
        <v>32</v>
      </c>
      <c r="G91" s="135">
        <v>2</v>
      </c>
      <c r="H91" s="135">
        <v>56000</v>
      </c>
      <c r="I91" s="135">
        <v>3500</v>
      </c>
      <c r="J91" s="136">
        <v>43550</v>
      </c>
      <c r="K91" s="137" t="s">
        <v>687</v>
      </c>
    </row>
    <row r="92" spans="2:11" ht="15.6" x14ac:dyDescent="0.3">
      <c r="B92" s="130" t="s">
        <v>293</v>
      </c>
      <c r="C92" s="131" t="s">
        <v>289</v>
      </c>
      <c r="D92" s="131">
        <v>2000</v>
      </c>
      <c r="E92" s="132" t="s">
        <v>287</v>
      </c>
      <c r="F92" s="131">
        <v>44</v>
      </c>
      <c r="G92" s="131">
        <v>4</v>
      </c>
      <c r="H92" s="131">
        <v>88000</v>
      </c>
      <c r="I92" s="131">
        <v>8000</v>
      </c>
      <c r="J92" s="133">
        <v>43552</v>
      </c>
      <c r="K92" s="134" t="s">
        <v>497</v>
      </c>
    </row>
    <row r="93" spans="2:11" ht="15.6" x14ac:dyDescent="0.3">
      <c r="B93" s="126" t="s">
        <v>290</v>
      </c>
      <c r="C93" s="135" t="s">
        <v>280</v>
      </c>
      <c r="D93" s="135">
        <v>900</v>
      </c>
      <c r="E93" s="127" t="s">
        <v>276</v>
      </c>
      <c r="F93" s="135">
        <v>38</v>
      </c>
      <c r="G93" s="135">
        <v>0</v>
      </c>
      <c r="H93" s="135">
        <v>34200</v>
      </c>
      <c r="I93" s="135">
        <v>0</v>
      </c>
      <c r="J93" s="136">
        <v>43553</v>
      </c>
      <c r="K93" s="137" t="s">
        <v>666</v>
      </c>
    </row>
    <row r="94" spans="2:11" ht="15.6" x14ac:dyDescent="0.3">
      <c r="B94" s="130" t="s">
        <v>268</v>
      </c>
      <c r="C94" s="131" t="s">
        <v>272</v>
      </c>
      <c r="D94" s="131">
        <v>4700</v>
      </c>
      <c r="E94" s="132" t="s">
        <v>281</v>
      </c>
      <c r="F94" s="131">
        <v>31</v>
      </c>
      <c r="G94" s="131">
        <v>2</v>
      </c>
      <c r="H94" s="131">
        <v>145700</v>
      </c>
      <c r="I94" s="131">
        <v>9400</v>
      </c>
      <c r="J94" s="133">
        <v>43553</v>
      </c>
      <c r="K94" s="134" t="s">
        <v>680</v>
      </c>
    </row>
    <row r="95" spans="2:11" ht="15.6" x14ac:dyDescent="0.3">
      <c r="B95" s="126" t="s">
        <v>282</v>
      </c>
      <c r="C95" s="135" t="s">
        <v>285</v>
      </c>
      <c r="D95" s="135">
        <v>1900</v>
      </c>
      <c r="E95" s="127" t="s">
        <v>286</v>
      </c>
      <c r="F95" s="135">
        <v>12</v>
      </c>
      <c r="G95" s="135">
        <v>4</v>
      </c>
      <c r="H95" s="135">
        <v>22800</v>
      </c>
      <c r="I95" s="135">
        <v>7600</v>
      </c>
      <c r="J95" s="136">
        <v>43553</v>
      </c>
      <c r="K95" s="137" t="s">
        <v>498</v>
      </c>
    </row>
    <row r="96" spans="2:11" ht="15.6" x14ac:dyDescent="0.3">
      <c r="B96" s="130" t="s">
        <v>293</v>
      </c>
      <c r="C96" s="131" t="s">
        <v>277</v>
      </c>
      <c r="D96" s="131">
        <v>1300</v>
      </c>
      <c r="E96" s="132" t="s">
        <v>286</v>
      </c>
      <c r="F96" s="131">
        <v>28</v>
      </c>
      <c r="G96" s="131">
        <v>4</v>
      </c>
      <c r="H96" s="131">
        <v>36400</v>
      </c>
      <c r="I96" s="131">
        <v>5200</v>
      </c>
      <c r="J96" s="133">
        <v>43554</v>
      </c>
      <c r="K96" s="134" t="s">
        <v>497</v>
      </c>
    </row>
    <row r="97" spans="2:11" ht="15.6" x14ac:dyDescent="0.3">
      <c r="B97" s="126" t="s">
        <v>271</v>
      </c>
      <c r="C97" s="135" t="s">
        <v>275</v>
      </c>
      <c r="D97" s="135">
        <v>4200</v>
      </c>
      <c r="E97" s="127" t="s">
        <v>286</v>
      </c>
      <c r="F97" s="135">
        <v>48</v>
      </c>
      <c r="G97" s="135">
        <v>3</v>
      </c>
      <c r="H97" s="135">
        <v>201600</v>
      </c>
      <c r="I97" s="135">
        <v>12600</v>
      </c>
      <c r="J97" s="136">
        <v>43556</v>
      </c>
      <c r="K97" s="137" t="s">
        <v>488</v>
      </c>
    </row>
    <row r="98" spans="2:11" ht="15.6" x14ac:dyDescent="0.3">
      <c r="B98" s="130" t="s">
        <v>293</v>
      </c>
      <c r="C98" s="131" t="s">
        <v>280</v>
      </c>
      <c r="D98" s="131">
        <v>1650</v>
      </c>
      <c r="E98" s="132" t="s">
        <v>287</v>
      </c>
      <c r="F98" s="131">
        <v>42</v>
      </c>
      <c r="G98" s="131">
        <v>2</v>
      </c>
      <c r="H98" s="131">
        <v>69300</v>
      </c>
      <c r="I98" s="131">
        <v>3300</v>
      </c>
      <c r="J98" s="133">
        <v>43556</v>
      </c>
      <c r="K98" s="134" t="s">
        <v>497</v>
      </c>
    </row>
    <row r="99" spans="2:11" ht="15.6" x14ac:dyDescent="0.3">
      <c r="B99" s="126" t="s">
        <v>278</v>
      </c>
      <c r="C99" s="135" t="s">
        <v>289</v>
      </c>
      <c r="D99" s="135">
        <v>2700</v>
      </c>
      <c r="E99" s="127" t="s">
        <v>287</v>
      </c>
      <c r="F99" s="135">
        <v>38</v>
      </c>
      <c r="G99" s="135">
        <v>4</v>
      </c>
      <c r="H99" s="135">
        <v>102600</v>
      </c>
      <c r="I99" s="135">
        <v>10800</v>
      </c>
      <c r="J99" s="136">
        <v>43557</v>
      </c>
      <c r="K99" s="137" t="s">
        <v>488</v>
      </c>
    </row>
    <row r="100" spans="2:11" ht="15.6" x14ac:dyDescent="0.3">
      <c r="B100" s="130" t="s">
        <v>268</v>
      </c>
      <c r="C100" s="131" t="s">
        <v>295</v>
      </c>
      <c r="D100" s="131">
        <v>4450</v>
      </c>
      <c r="E100" s="132" t="s">
        <v>273</v>
      </c>
      <c r="F100" s="131">
        <v>50</v>
      </c>
      <c r="G100" s="131">
        <v>2</v>
      </c>
      <c r="H100" s="131">
        <v>222500</v>
      </c>
      <c r="I100" s="131">
        <v>8900</v>
      </c>
      <c r="J100" s="133">
        <v>43557</v>
      </c>
      <c r="K100" s="134" t="s">
        <v>680</v>
      </c>
    </row>
    <row r="101" spans="2:11" ht="15.6" x14ac:dyDescent="0.3">
      <c r="B101" s="126" t="s">
        <v>271</v>
      </c>
      <c r="C101" s="135" t="s">
        <v>283</v>
      </c>
      <c r="D101" s="135">
        <v>4350</v>
      </c>
      <c r="E101" s="127" t="s">
        <v>270</v>
      </c>
      <c r="F101" s="135">
        <v>21</v>
      </c>
      <c r="G101" s="135">
        <v>3</v>
      </c>
      <c r="H101" s="135">
        <v>91350</v>
      </c>
      <c r="I101" s="135">
        <v>13050</v>
      </c>
      <c r="J101" s="136">
        <v>43558</v>
      </c>
      <c r="K101" s="137" t="s">
        <v>488</v>
      </c>
    </row>
    <row r="102" spans="2:11" ht="15.6" x14ac:dyDescent="0.3">
      <c r="B102" s="130" t="s">
        <v>278</v>
      </c>
      <c r="C102" s="131" t="s">
        <v>285</v>
      </c>
      <c r="D102" s="131">
        <v>1800</v>
      </c>
      <c r="E102" s="132" t="s">
        <v>281</v>
      </c>
      <c r="F102" s="131">
        <v>13</v>
      </c>
      <c r="G102" s="131">
        <v>3</v>
      </c>
      <c r="H102" s="131">
        <v>23400</v>
      </c>
      <c r="I102" s="131">
        <v>5400</v>
      </c>
      <c r="J102" s="133">
        <v>43559</v>
      </c>
      <c r="K102" s="134" t="s">
        <v>488</v>
      </c>
    </row>
    <row r="103" spans="2:11" ht="15.6" x14ac:dyDescent="0.3">
      <c r="B103" s="126" t="s">
        <v>278</v>
      </c>
      <c r="C103" s="135" t="s">
        <v>283</v>
      </c>
      <c r="D103" s="135">
        <v>2090</v>
      </c>
      <c r="E103" s="127" t="s">
        <v>281</v>
      </c>
      <c r="F103" s="135">
        <v>24</v>
      </c>
      <c r="G103" s="135">
        <v>2</v>
      </c>
      <c r="H103" s="135">
        <v>50160</v>
      </c>
      <c r="I103" s="135">
        <v>4180</v>
      </c>
      <c r="J103" s="136">
        <v>43560</v>
      </c>
      <c r="K103" s="137" t="s">
        <v>488</v>
      </c>
    </row>
    <row r="104" spans="2:11" ht="15.6" x14ac:dyDescent="0.3">
      <c r="B104" s="130" t="s">
        <v>290</v>
      </c>
      <c r="C104" s="131" t="s">
        <v>284</v>
      </c>
      <c r="D104" s="131">
        <v>1120</v>
      </c>
      <c r="E104" s="132" t="s">
        <v>286</v>
      </c>
      <c r="F104" s="131">
        <v>39</v>
      </c>
      <c r="G104" s="131">
        <v>0</v>
      </c>
      <c r="H104" s="131">
        <v>43680</v>
      </c>
      <c r="I104" s="131">
        <v>0</v>
      </c>
      <c r="J104" s="133">
        <v>43561</v>
      </c>
      <c r="K104" s="134" t="s">
        <v>666</v>
      </c>
    </row>
    <row r="105" spans="2:11" ht="15.6" x14ac:dyDescent="0.3">
      <c r="B105" s="126" t="s">
        <v>278</v>
      </c>
      <c r="C105" s="135" t="s">
        <v>285</v>
      </c>
      <c r="D105" s="135">
        <v>1800</v>
      </c>
      <c r="E105" s="127" t="s">
        <v>276</v>
      </c>
      <c r="F105" s="135">
        <v>11</v>
      </c>
      <c r="G105" s="135">
        <v>1</v>
      </c>
      <c r="H105" s="135">
        <v>19800</v>
      </c>
      <c r="I105" s="135">
        <v>1800</v>
      </c>
      <c r="J105" s="136">
        <v>43561</v>
      </c>
      <c r="K105" s="137" t="s">
        <v>488</v>
      </c>
    </row>
    <row r="106" spans="2:11" ht="15.6" x14ac:dyDescent="0.3">
      <c r="B106" s="130" t="s">
        <v>268</v>
      </c>
      <c r="C106" s="131" t="s">
        <v>292</v>
      </c>
      <c r="D106" s="131">
        <v>3820</v>
      </c>
      <c r="E106" s="132" t="s">
        <v>286</v>
      </c>
      <c r="F106" s="131">
        <v>20</v>
      </c>
      <c r="G106" s="131">
        <v>0</v>
      </c>
      <c r="H106" s="131">
        <v>76400</v>
      </c>
      <c r="I106" s="131">
        <v>0</v>
      </c>
      <c r="J106" s="133">
        <v>43561</v>
      </c>
      <c r="K106" s="134" t="s">
        <v>680</v>
      </c>
    </row>
    <row r="107" spans="2:11" ht="15.6" x14ac:dyDescent="0.3">
      <c r="B107" s="126" t="s">
        <v>291</v>
      </c>
      <c r="C107" s="135" t="s">
        <v>289</v>
      </c>
      <c r="D107" s="135">
        <v>4600</v>
      </c>
      <c r="E107" s="127" t="s">
        <v>273</v>
      </c>
      <c r="F107" s="135">
        <v>24</v>
      </c>
      <c r="G107" s="135">
        <v>3</v>
      </c>
      <c r="H107" s="135">
        <v>110400</v>
      </c>
      <c r="I107" s="135">
        <v>13800</v>
      </c>
      <c r="J107" s="136">
        <v>43563</v>
      </c>
      <c r="K107" s="137" t="s">
        <v>666</v>
      </c>
    </row>
    <row r="108" spans="2:11" ht="15.6" x14ac:dyDescent="0.3">
      <c r="B108" s="130" t="s">
        <v>279</v>
      </c>
      <c r="C108" s="131" t="s">
        <v>284</v>
      </c>
      <c r="D108" s="131">
        <v>1950</v>
      </c>
      <c r="E108" s="132" t="s">
        <v>273</v>
      </c>
      <c r="F108" s="131">
        <v>32</v>
      </c>
      <c r="G108" s="131">
        <v>3</v>
      </c>
      <c r="H108" s="131">
        <v>62400</v>
      </c>
      <c r="I108" s="131">
        <v>5850</v>
      </c>
      <c r="J108" s="133">
        <v>43563</v>
      </c>
      <c r="K108" s="134" t="s">
        <v>687</v>
      </c>
    </row>
    <row r="109" spans="2:11" ht="15.6" x14ac:dyDescent="0.3">
      <c r="B109" s="126" t="s">
        <v>268</v>
      </c>
      <c r="C109" s="135" t="s">
        <v>292</v>
      </c>
      <c r="D109" s="135">
        <v>3800</v>
      </c>
      <c r="E109" s="127" t="s">
        <v>276</v>
      </c>
      <c r="F109" s="135">
        <v>40</v>
      </c>
      <c r="G109" s="135">
        <v>3</v>
      </c>
      <c r="H109" s="135">
        <v>152000</v>
      </c>
      <c r="I109" s="135">
        <v>11400</v>
      </c>
      <c r="J109" s="136">
        <v>43564</v>
      </c>
      <c r="K109" s="137" t="s">
        <v>680</v>
      </c>
    </row>
    <row r="110" spans="2:11" ht="15.6" x14ac:dyDescent="0.3">
      <c r="B110" s="130" t="s">
        <v>282</v>
      </c>
      <c r="C110" s="131" t="s">
        <v>275</v>
      </c>
      <c r="D110" s="131">
        <v>3190</v>
      </c>
      <c r="E110" s="132" t="s">
        <v>273</v>
      </c>
      <c r="F110" s="131">
        <v>23</v>
      </c>
      <c r="G110" s="131">
        <v>1</v>
      </c>
      <c r="H110" s="131">
        <v>73370</v>
      </c>
      <c r="I110" s="131">
        <v>3190</v>
      </c>
      <c r="J110" s="133">
        <v>43564</v>
      </c>
      <c r="K110" s="134" t="s">
        <v>498</v>
      </c>
    </row>
    <row r="111" spans="2:11" ht="15.6" x14ac:dyDescent="0.3">
      <c r="B111" s="126" t="s">
        <v>288</v>
      </c>
      <c r="C111" s="135" t="s">
        <v>289</v>
      </c>
      <c r="D111" s="135">
        <v>1250</v>
      </c>
      <c r="E111" s="127" t="s">
        <v>286</v>
      </c>
      <c r="F111" s="135">
        <v>29</v>
      </c>
      <c r="G111" s="135">
        <v>4</v>
      </c>
      <c r="H111" s="135">
        <v>36250</v>
      </c>
      <c r="I111" s="135">
        <v>5000</v>
      </c>
      <c r="J111" s="136">
        <v>43565</v>
      </c>
      <c r="K111" s="137" t="s">
        <v>666</v>
      </c>
    </row>
    <row r="112" spans="2:11" ht="15.6" x14ac:dyDescent="0.3">
      <c r="B112" s="130" t="s">
        <v>291</v>
      </c>
      <c r="C112" s="131" t="s">
        <v>280</v>
      </c>
      <c r="D112" s="131">
        <v>5500</v>
      </c>
      <c r="E112" s="132" t="s">
        <v>286</v>
      </c>
      <c r="F112" s="131">
        <v>20</v>
      </c>
      <c r="G112" s="131">
        <v>4</v>
      </c>
      <c r="H112" s="131">
        <v>110000</v>
      </c>
      <c r="I112" s="131">
        <v>22000</v>
      </c>
      <c r="J112" s="133">
        <v>43565</v>
      </c>
      <c r="K112" s="134" t="s">
        <v>666</v>
      </c>
    </row>
    <row r="113" spans="2:11" ht="15.6" x14ac:dyDescent="0.3">
      <c r="B113" s="126" t="s">
        <v>274</v>
      </c>
      <c r="C113" s="135" t="s">
        <v>289</v>
      </c>
      <c r="D113" s="135">
        <v>1200</v>
      </c>
      <c r="E113" s="127" t="s">
        <v>273</v>
      </c>
      <c r="F113" s="135">
        <v>44</v>
      </c>
      <c r="G113" s="135">
        <v>2</v>
      </c>
      <c r="H113" s="135">
        <v>52800</v>
      </c>
      <c r="I113" s="135">
        <v>2400</v>
      </c>
      <c r="J113" s="136">
        <v>43567</v>
      </c>
      <c r="K113" s="137" t="s">
        <v>488</v>
      </c>
    </row>
    <row r="114" spans="2:11" ht="15.6" x14ac:dyDescent="0.3">
      <c r="B114" s="130" t="s">
        <v>271</v>
      </c>
      <c r="C114" s="131" t="s">
        <v>280</v>
      </c>
      <c r="D114" s="131">
        <v>2850</v>
      </c>
      <c r="E114" s="132" t="s">
        <v>273</v>
      </c>
      <c r="F114" s="131">
        <v>48</v>
      </c>
      <c r="G114" s="131">
        <v>1</v>
      </c>
      <c r="H114" s="131">
        <v>136800</v>
      </c>
      <c r="I114" s="131">
        <v>2850</v>
      </c>
      <c r="J114" s="133">
        <v>43568</v>
      </c>
      <c r="K114" s="134" t="s">
        <v>488</v>
      </c>
    </row>
    <row r="115" spans="2:11" ht="15.6" x14ac:dyDescent="0.3">
      <c r="B115" s="126" t="s">
        <v>293</v>
      </c>
      <c r="C115" s="135" t="s">
        <v>285</v>
      </c>
      <c r="D115" s="135">
        <v>1700</v>
      </c>
      <c r="E115" s="127" t="s">
        <v>276</v>
      </c>
      <c r="F115" s="135">
        <v>45</v>
      </c>
      <c r="G115" s="135">
        <v>2</v>
      </c>
      <c r="H115" s="135">
        <v>76500</v>
      </c>
      <c r="I115" s="135">
        <v>3400</v>
      </c>
      <c r="J115" s="136">
        <v>43568</v>
      </c>
      <c r="K115" s="137" t="s">
        <v>497</v>
      </c>
    </row>
    <row r="116" spans="2:11" ht="15.6" x14ac:dyDescent="0.3">
      <c r="B116" s="130" t="s">
        <v>290</v>
      </c>
      <c r="C116" s="131" t="s">
        <v>285</v>
      </c>
      <c r="D116" s="131">
        <v>1200</v>
      </c>
      <c r="E116" s="132" t="s">
        <v>281</v>
      </c>
      <c r="F116" s="131">
        <v>44</v>
      </c>
      <c r="G116" s="131">
        <v>3</v>
      </c>
      <c r="H116" s="131">
        <v>52800</v>
      </c>
      <c r="I116" s="131">
        <v>3600</v>
      </c>
      <c r="J116" s="133">
        <v>43569</v>
      </c>
      <c r="K116" s="134" t="s">
        <v>666</v>
      </c>
    </row>
    <row r="117" spans="2:11" ht="15.6" x14ac:dyDescent="0.3">
      <c r="B117" s="126" t="s">
        <v>293</v>
      </c>
      <c r="C117" s="135" t="s">
        <v>283</v>
      </c>
      <c r="D117" s="135">
        <v>1400</v>
      </c>
      <c r="E117" s="127" t="s">
        <v>281</v>
      </c>
      <c r="F117" s="135">
        <v>12</v>
      </c>
      <c r="G117" s="135">
        <v>1</v>
      </c>
      <c r="H117" s="135">
        <v>16800</v>
      </c>
      <c r="I117" s="135">
        <v>1400</v>
      </c>
      <c r="J117" s="136">
        <v>43570</v>
      </c>
      <c r="K117" s="137" t="s">
        <v>497</v>
      </c>
    </row>
    <row r="118" spans="2:11" ht="15.6" x14ac:dyDescent="0.3">
      <c r="B118" s="130" t="s">
        <v>279</v>
      </c>
      <c r="C118" s="131" t="s">
        <v>275</v>
      </c>
      <c r="D118" s="131">
        <v>900</v>
      </c>
      <c r="E118" s="132" t="s">
        <v>287</v>
      </c>
      <c r="F118" s="131">
        <v>34</v>
      </c>
      <c r="G118" s="131">
        <v>1</v>
      </c>
      <c r="H118" s="131">
        <v>30600</v>
      </c>
      <c r="I118" s="131">
        <v>900</v>
      </c>
      <c r="J118" s="133">
        <v>43571</v>
      </c>
      <c r="K118" s="134" t="s">
        <v>687</v>
      </c>
    </row>
    <row r="119" spans="2:11" ht="15.6" x14ac:dyDescent="0.3">
      <c r="B119" s="126" t="s">
        <v>293</v>
      </c>
      <c r="C119" s="135" t="s">
        <v>283</v>
      </c>
      <c r="D119" s="135">
        <v>1380</v>
      </c>
      <c r="E119" s="127" t="s">
        <v>270</v>
      </c>
      <c r="F119" s="135">
        <v>14</v>
      </c>
      <c r="G119" s="135">
        <v>1</v>
      </c>
      <c r="H119" s="135">
        <v>19320</v>
      </c>
      <c r="I119" s="135">
        <v>1380</v>
      </c>
      <c r="J119" s="136">
        <v>43572</v>
      </c>
      <c r="K119" s="137" t="s">
        <v>497</v>
      </c>
    </row>
    <row r="120" spans="2:11" ht="15.6" x14ac:dyDescent="0.3">
      <c r="B120" s="130" t="s">
        <v>291</v>
      </c>
      <c r="C120" s="131" t="s">
        <v>289</v>
      </c>
      <c r="D120" s="131">
        <v>4550</v>
      </c>
      <c r="E120" s="132" t="s">
        <v>286</v>
      </c>
      <c r="F120" s="131">
        <v>26</v>
      </c>
      <c r="G120" s="131">
        <v>3</v>
      </c>
      <c r="H120" s="131">
        <v>118300</v>
      </c>
      <c r="I120" s="131">
        <v>13650</v>
      </c>
      <c r="J120" s="133">
        <v>43573</v>
      </c>
      <c r="K120" s="134" t="s">
        <v>666</v>
      </c>
    </row>
    <row r="121" spans="2:11" ht="15.6" x14ac:dyDescent="0.3">
      <c r="B121" s="126" t="s">
        <v>274</v>
      </c>
      <c r="C121" s="135" t="s">
        <v>277</v>
      </c>
      <c r="D121" s="135">
        <v>2500</v>
      </c>
      <c r="E121" s="127" t="s">
        <v>276</v>
      </c>
      <c r="F121" s="135">
        <v>25</v>
      </c>
      <c r="G121" s="135">
        <v>0</v>
      </c>
      <c r="H121" s="135">
        <v>62500</v>
      </c>
      <c r="I121" s="135">
        <v>0</v>
      </c>
      <c r="J121" s="136">
        <v>43574</v>
      </c>
      <c r="K121" s="137" t="s">
        <v>488</v>
      </c>
    </row>
    <row r="122" spans="2:11" ht="15.6" x14ac:dyDescent="0.3">
      <c r="B122" s="130" t="s">
        <v>271</v>
      </c>
      <c r="C122" s="131" t="s">
        <v>280</v>
      </c>
      <c r="D122" s="131">
        <v>2850</v>
      </c>
      <c r="E122" s="132" t="s">
        <v>270</v>
      </c>
      <c r="F122" s="131">
        <v>35</v>
      </c>
      <c r="G122" s="131">
        <v>2</v>
      </c>
      <c r="H122" s="131">
        <v>99750</v>
      </c>
      <c r="I122" s="131">
        <v>5700</v>
      </c>
      <c r="J122" s="133">
        <v>43574</v>
      </c>
      <c r="K122" s="134" t="s">
        <v>488</v>
      </c>
    </row>
    <row r="123" spans="2:11" ht="15.6" x14ac:dyDescent="0.3">
      <c r="B123" s="126" t="s">
        <v>274</v>
      </c>
      <c r="C123" s="135" t="s">
        <v>275</v>
      </c>
      <c r="D123" s="135">
        <v>850</v>
      </c>
      <c r="E123" s="127" t="s">
        <v>286</v>
      </c>
      <c r="F123" s="135">
        <v>26</v>
      </c>
      <c r="G123" s="135">
        <v>0</v>
      </c>
      <c r="H123" s="135">
        <v>22100</v>
      </c>
      <c r="I123" s="135">
        <v>0</v>
      </c>
      <c r="J123" s="136">
        <v>43576</v>
      </c>
      <c r="K123" s="137" t="s">
        <v>488</v>
      </c>
    </row>
    <row r="124" spans="2:11" ht="15.6" x14ac:dyDescent="0.3">
      <c r="B124" s="130" t="s">
        <v>271</v>
      </c>
      <c r="C124" s="131" t="s">
        <v>272</v>
      </c>
      <c r="D124" s="131">
        <v>3900</v>
      </c>
      <c r="E124" s="132" t="s">
        <v>286</v>
      </c>
      <c r="F124" s="131">
        <v>27</v>
      </c>
      <c r="G124" s="131">
        <v>3</v>
      </c>
      <c r="H124" s="131">
        <v>105300</v>
      </c>
      <c r="I124" s="131">
        <v>11700</v>
      </c>
      <c r="J124" s="133">
        <v>43576</v>
      </c>
      <c r="K124" s="134" t="s">
        <v>488</v>
      </c>
    </row>
    <row r="125" spans="2:11" ht="15.6" x14ac:dyDescent="0.3">
      <c r="B125" s="126" t="s">
        <v>293</v>
      </c>
      <c r="C125" s="135" t="s">
        <v>277</v>
      </c>
      <c r="D125" s="135">
        <v>1280</v>
      </c>
      <c r="E125" s="127" t="s">
        <v>287</v>
      </c>
      <c r="F125" s="135">
        <v>42</v>
      </c>
      <c r="G125" s="135">
        <v>0</v>
      </c>
      <c r="H125" s="135">
        <v>53760</v>
      </c>
      <c r="I125" s="135">
        <v>0</v>
      </c>
      <c r="J125" s="136">
        <v>43576</v>
      </c>
      <c r="K125" s="137" t="s">
        <v>497</v>
      </c>
    </row>
    <row r="126" spans="2:11" ht="15.6" x14ac:dyDescent="0.3">
      <c r="B126" s="130" t="s">
        <v>278</v>
      </c>
      <c r="C126" s="131" t="s">
        <v>283</v>
      </c>
      <c r="D126" s="131">
        <v>2150</v>
      </c>
      <c r="E126" s="132" t="s">
        <v>273</v>
      </c>
      <c r="F126" s="131">
        <v>18</v>
      </c>
      <c r="G126" s="131">
        <v>4</v>
      </c>
      <c r="H126" s="131">
        <v>38700</v>
      </c>
      <c r="I126" s="131">
        <v>8600</v>
      </c>
      <c r="J126" s="133">
        <v>43577</v>
      </c>
      <c r="K126" s="134" t="s">
        <v>680</v>
      </c>
    </row>
    <row r="127" spans="2:11" ht="15.6" x14ac:dyDescent="0.3">
      <c r="B127" s="126" t="s">
        <v>291</v>
      </c>
      <c r="C127" s="135" t="s">
        <v>277</v>
      </c>
      <c r="D127" s="135">
        <v>10110</v>
      </c>
      <c r="E127" s="127" t="s">
        <v>286</v>
      </c>
      <c r="F127" s="135">
        <v>39</v>
      </c>
      <c r="G127" s="135">
        <v>4</v>
      </c>
      <c r="H127" s="135">
        <v>394290</v>
      </c>
      <c r="I127" s="135">
        <v>40440</v>
      </c>
      <c r="J127" s="136">
        <v>43578</v>
      </c>
      <c r="K127" s="137" t="s">
        <v>666</v>
      </c>
    </row>
    <row r="128" spans="2:11" ht="15.6" x14ac:dyDescent="0.3">
      <c r="B128" s="130" t="s">
        <v>282</v>
      </c>
      <c r="C128" s="131" t="s">
        <v>275</v>
      </c>
      <c r="D128" s="131">
        <v>3160</v>
      </c>
      <c r="E128" s="132" t="s">
        <v>270</v>
      </c>
      <c r="F128" s="131">
        <v>46</v>
      </c>
      <c r="G128" s="131">
        <v>1</v>
      </c>
      <c r="H128" s="131">
        <v>145360</v>
      </c>
      <c r="I128" s="131">
        <v>3160</v>
      </c>
      <c r="J128" s="133">
        <v>43578</v>
      </c>
      <c r="K128" s="134" t="s">
        <v>498</v>
      </c>
    </row>
    <row r="129" spans="2:11" ht="15.6" x14ac:dyDescent="0.3">
      <c r="B129" s="126" t="s">
        <v>291</v>
      </c>
      <c r="C129" s="135" t="s">
        <v>280</v>
      </c>
      <c r="D129" s="135">
        <v>5490</v>
      </c>
      <c r="E129" s="127" t="s">
        <v>287</v>
      </c>
      <c r="F129" s="135">
        <v>17</v>
      </c>
      <c r="G129" s="135">
        <v>2</v>
      </c>
      <c r="H129" s="135">
        <v>93330</v>
      </c>
      <c r="I129" s="135">
        <v>10980</v>
      </c>
      <c r="J129" s="136">
        <v>43579</v>
      </c>
      <c r="K129" s="137" t="s">
        <v>666</v>
      </c>
    </row>
    <row r="130" spans="2:11" ht="15.6" x14ac:dyDescent="0.3">
      <c r="B130" s="130" t="s">
        <v>282</v>
      </c>
      <c r="C130" s="131" t="s">
        <v>289</v>
      </c>
      <c r="D130" s="131">
        <v>3150</v>
      </c>
      <c r="E130" s="132" t="s">
        <v>270</v>
      </c>
      <c r="F130" s="131">
        <v>39</v>
      </c>
      <c r="G130" s="131">
        <v>0</v>
      </c>
      <c r="H130" s="131">
        <v>122850</v>
      </c>
      <c r="I130" s="131">
        <v>0</v>
      </c>
      <c r="J130" s="133">
        <v>43579</v>
      </c>
      <c r="K130" s="134" t="s">
        <v>498</v>
      </c>
    </row>
    <row r="131" spans="2:11" ht="15.6" x14ac:dyDescent="0.3">
      <c r="B131" s="126" t="s">
        <v>288</v>
      </c>
      <c r="C131" s="135" t="s">
        <v>284</v>
      </c>
      <c r="D131" s="135">
        <v>3400</v>
      </c>
      <c r="E131" s="127" t="s">
        <v>286</v>
      </c>
      <c r="F131" s="135">
        <v>17</v>
      </c>
      <c r="G131" s="135">
        <v>2</v>
      </c>
      <c r="H131" s="135">
        <v>57800</v>
      </c>
      <c r="I131" s="135">
        <v>6800</v>
      </c>
      <c r="J131" s="136">
        <v>43580</v>
      </c>
      <c r="K131" s="137" t="s">
        <v>666</v>
      </c>
    </row>
    <row r="132" spans="2:11" ht="15.6" x14ac:dyDescent="0.3">
      <c r="B132" s="130" t="s">
        <v>274</v>
      </c>
      <c r="C132" s="131" t="s">
        <v>275</v>
      </c>
      <c r="D132" s="131">
        <v>890</v>
      </c>
      <c r="E132" s="132" t="s">
        <v>270</v>
      </c>
      <c r="F132" s="131">
        <v>44</v>
      </c>
      <c r="G132" s="131">
        <v>1</v>
      </c>
      <c r="H132" s="131">
        <v>39160</v>
      </c>
      <c r="I132" s="131">
        <v>890</v>
      </c>
      <c r="J132" s="133">
        <v>43580</v>
      </c>
      <c r="K132" s="134" t="s">
        <v>488</v>
      </c>
    </row>
    <row r="133" spans="2:11" ht="15.6" x14ac:dyDescent="0.3">
      <c r="B133" s="126" t="s">
        <v>268</v>
      </c>
      <c r="C133" s="135" t="s">
        <v>295</v>
      </c>
      <c r="D133" s="135">
        <v>4500</v>
      </c>
      <c r="E133" s="127" t="s">
        <v>287</v>
      </c>
      <c r="F133" s="135">
        <v>33</v>
      </c>
      <c r="G133" s="135">
        <v>3</v>
      </c>
      <c r="H133" s="135">
        <v>148500</v>
      </c>
      <c r="I133" s="135">
        <v>13500</v>
      </c>
      <c r="J133" s="136">
        <v>43582</v>
      </c>
      <c r="K133" s="137" t="s">
        <v>680</v>
      </c>
    </row>
    <row r="134" spans="2:11" ht="15.6" x14ac:dyDescent="0.3">
      <c r="B134" s="130" t="s">
        <v>288</v>
      </c>
      <c r="C134" s="131" t="s">
        <v>289</v>
      </c>
      <c r="D134" s="131">
        <v>1280</v>
      </c>
      <c r="E134" s="132" t="s">
        <v>287</v>
      </c>
      <c r="F134" s="131">
        <v>14</v>
      </c>
      <c r="G134" s="131">
        <v>0</v>
      </c>
      <c r="H134" s="131">
        <v>17920</v>
      </c>
      <c r="I134" s="131">
        <v>0</v>
      </c>
      <c r="J134" s="133">
        <v>43585</v>
      </c>
      <c r="K134" s="134" t="s">
        <v>666</v>
      </c>
    </row>
    <row r="135" spans="2:11" ht="15.6" x14ac:dyDescent="0.3">
      <c r="B135" s="126" t="s">
        <v>278</v>
      </c>
      <c r="C135" s="135" t="s">
        <v>280</v>
      </c>
      <c r="D135" s="135">
        <v>2540</v>
      </c>
      <c r="E135" s="127" t="s">
        <v>273</v>
      </c>
      <c r="F135" s="135">
        <v>48</v>
      </c>
      <c r="G135" s="135">
        <v>4</v>
      </c>
      <c r="H135" s="135">
        <v>121920</v>
      </c>
      <c r="I135" s="135">
        <v>10160</v>
      </c>
      <c r="J135" s="136">
        <v>43586</v>
      </c>
      <c r="K135" s="137" t="s">
        <v>680</v>
      </c>
    </row>
    <row r="136" spans="2:11" ht="15.6" x14ac:dyDescent="0.3">
      <c r="B136" s="130" t="s">
        <v>293</v>
      </c>
      <c r="C136" s="131" t="s">
        <v>277</v>
      </c>
      <c r="D136" s="131">
        <v>1200</v>
      </c>
      <c r="E136" s="132" t="s">
        <v>281</v>
      </c>
      <c r="F136" s="131">
        <v>23</v>
      </c>
      <c r="G136" s="131">
        <v>2</v>
      </c>
      <c r="H136" s="131">
        <v>27600</v>
      </c>
      <c r="I136" s="131">
        <v>2400</v>
      </c>
      <c r="J136" s="133">
        <v>43589</v>
      </c>
      <c r="K136" s="134" t="s">
        <v>497</v>
      </c>
    </row>
    <row r="137" spans="2:11" ht="15.6" x14ac:dyDescent="0.3">
      <c r="B137" s="126" t="s">
        <v>290</v>
      </c>
      <c r="C137" s="135" t="s">
        <v>280</v>
      </c>
      <c r="D137" s="135">
        <v>800</v>
      </c>
      <c r="E137" s="127" t="s">
        <v>281</v>
      </c>
      <c r="F137" s="135">
        <v>44</v>
      </c>
      <c r="G137" s="135">
        <v>4</v>
      </c>
      <c r="H137" s="135">
        <v>35200</v>
      </c>
      <c r="I137" s="135">
        <v>3200</v>
      </c>
      <c r="J137" s="136">
        <v>43590</v>
      </c>
      <c r="K137" s="137" t="s">
        <v>666</v>
      </c>
    </row>
    <row r="138" spans="2:11" ht="15.6" x14ac:dyDescent="0.3">
      <c r="B138" s="130" t="s">
        <v>271</v>
      </c>
      <c r="C138" s="131" t="s">
        <v>284</v>
      </c>
      <c r="D138" s="131">
        <v>2900</v>
      </c>
      <c r="E138" s="132" t="s">
        <v>276</v>
      </c>
      <c r="F138" s="131">
        <v>42</v>
      </c>
      <c r="G138" s="131">
        <v>3</v>
      </c>
      <c r="H138" s="131">
        <v>121800</v>
      </c>
      <c r="I138" s="131">
        <v>8700</v>
      </c>
      <c r="J138" s="133">
        <v>43592</v>
      </c>
      <c r="K138" s="134" t="s">
        <v>488</v>
      </c>
    </row>
    <row r="139" spans="2:11" ht="15.6" x14ac:dyDescent="0.3">
      <c r="B139" s="126" t="s">
        <v>278</v>
      </c>
      <c r="C139" s="135" t="s">
        <v>285</v>
      </c>
      <c r="D139" s="135">
        <v>1790</v>
      </c>
      <c r="E139" s="127" t="s">
        <v>287</v>
      </c>
      <c r="F139" s="135">
        <v>24</v>
      </c>
      <c r="G139" s="135">
        <v>4</v>
      </c>
      <c r="H139" s="135">
        <v>42960</v>
      </c>
      <c r="I139" s="135">
        <v>7160</v>
      </c>
      <c r="J139" s="136">
        <v>43592</v>
      </c>
      <c r="K139" s="137" t="s">
        <v>680</v>
      </c>
    </row>
    <row r="140" spans="2:11" ht="15.6" x14ac:dyDescent="0.3">
      <c r="B140" s="130" t="s">
        <v>294</v>
      </c>
      <c r="C140" s="131" t="s">
        <v>275</v>
      </c>
      <c r="D140" s="131">
        <v>1870</v>
      </c>
      <c r="E140" s="132" t="s">
        <v>287</v>
      </c>
      <c r="F140" s="131">
        <v>20</v>
      </c>
      <c r="G140" s="131">
        <v>0</v>
      </c>
      <c r="H140" s="131">
        <v>37400</v>
      </c>
      <c r="I140" s="131">
        <v>0</v>
      </c>
      <c r="J140" s="133">
        <v>43593</v>
      </c>
      <c r="K140" s="134" t="s">
        <v>666</v>
      </c>
    </row>
    <row r="141" spans="2:11" ht="15.6" x14ac:dyDescent="0.3">
      <c r="B141" s="126" t="s">
        <v>278</v>
      </c>
      <c r="C141" s="135" t="s">
        <v>289</v>
      </c>
      <c r="D141" s="135">
        <v>2700</v>
      </c>
      <c r="E141" s="127" t="s">
        <v>286</v>
      </c>
      <c r="F141" s="135">
        <v>16</v>
      </c>
      <c r="G141" s="135">
        <v>1</v>
      </c>
      <c r="H141" s="135">
        <v>43200</v>
      </c>
      <c r="I141" s="135">
        <v>2700</v>
      </c>
      <c r="J141" s="136">
        <v>43594</v>
      </c>
      <c r="K141" s="137" t="s">
        <v>680</v>
      </c>
    </row>
    <row r="142" spans="2:11" ht="15.6" x14ac:dyDescent="0.3">
      <c r="B142" s="130" t="s">
        <v>282</v>
      </c>
      <c r="C142" s="131" t="s">
        <v>280</v>
      </c>
      <c r="D142" s="131">
        <v>2550</v>
      </c>
      <c r="E142" s="132" t="s">
        <v>273</v>
      </c>
      <c r="F142" s="131">
        <v>21</v>
      </c>
      <c r="G142" s="131">
        <v>3</v>
      </c>
      <c r="H142" s="131">
        <v>53550</v>
      </c>
      <c r="I142" s="131">
        <v>7650</v>
      </c>
      <c r="J142" s="133">
        <v>43595</v>
      </c>
      <c r="K142" s="134" t="s">
        <v>498</v>
      </c>
    </row>
    <row r="143" spans="2:11" ht="15.6" x14ac:dyDescent="0.3">
      <c r="B143" s="126" t="s">
        <v>288</v>
      </c>
      <c r="C143" s="135" t="s">
        <v>284</v>
      </c>
      <c r="D143" s="135">
        <v>3370</v>
      </c>
      <c r="E143" s="127" t="s">
        <v>270</v>
      </c>
      <c r="F143" s="135">
        <v>33</v>
      </c>
      <c r="G143" s="135">
        <v>2</v>
      </c>
      <c r="H143" s="135">
        <v>111210</v>
      </c>
      <c r="I143" s="135">
        <v>6740</v>
      </c>
      <c r="J143" s="136">
        <v>43597</v>
      </c>
      <c r="K143" s="137" t="s">
        <v>666</v>
      </c>
    </row>
    <row r="144" spans="2:11" ht="15.6" x14ac:dyDescent="0.3">
      <c r="B144" s="130" t="s">
        <v>279</v>
      </c>
      <c r="C144" s="131" t="s">
        <v>284</v>
      </c>
      <c r="D144" s="131">
        <v>1980</v>
      </c>
      <c r="E144" s="132" t="s">
        <v>286</v>
      </c>
      <c r="F144" s="131">
        <v>35</v>
      </c>
      <c r="G144" s="131">
        <v>2</v>
      </c>
      <c r="H144" s="131">
        <v>69300</v>
      </c>
      <c r="I144" s="131">
        <v>3960</v>
      </c>
      <c r="J144" s="133">
        <v>43597</v>
      </c>
      <c r="K144" s="134" t="s">
        <v>687</v>
      </c>
    </row>
    <row r="145" spans="2:11" ht="15.6" x14ac:dyDescent="0.3">
      <c r="B145" s="126" t="s">
        <v>282</v>
      </c>
      <c r="C145" s="135" t="s">
        <v>275</v>
      </c>
      <c r="D145" s="135">
        <v>3200</v>
      </c>
      <c r="E145" s="127" t="s">
        <v>281</v>
      </c>
      <c r="F145" s="135">
        <v>27</v>
      </c>
      <c r="G145" s="135">
        <v>1</v>
      </c>
      <c r="H145" s="135">
        <v>86400</v>
      </c>
      <c r="I145" s="135">
        <v>3200</v>
      </c>
      <c r="J145" s="136">
        <v>43599</v>
      </c>
      <c r="K145" s="137" t="s">
        <v>498</v>
      </c>
    </row>
    <row r="146" spans="2:11" ht="15.6" x14ac:dyDescent="0.3">
      <c r="B146" s="130" t="s">
        <v>278</v>
      </c>
      <c r="C146" s="131" t="s">
        <v>283</v>
      </c>
      <c r="D146" s="131">
        <v>2220</v>
      </c>
      <c r="E146" s="132" t="s">
        <v>286</v>
      </c>
      <c r="F146" s="131">
        <v>32</v>
      </c>
      <c r="G146" s="131">
        <v>3</v>
      </c>
      <c r="H146" s="131">
        <v>71040</v>
      </c>
      <c r="I146" s="131">
        <v>6660</v>
      </c>
      <c r="J146" s="133">
        <v>43600</v>
      </c>
      <c r="K146" s="134" t="s">
        <v>680</v>
      </c>
    </row>
    <row r="147" spans="2:11" ht="15.6" x14ac:dyDescent="0.3">
      <c r="B147" s="126" t="s">
        <v>288</v>
      </c>
      <c r="C147" s="135" t="s">
        <v>277</v>
      </c>
      <c r="D147" s="135">
        <v>2900</v>
      </c>
      <c r="E147" s="127" t="s">
        <v>270</v>
      </c>
      <c r="F147" s="135">
        <v>36</v>
      </c>
      <c r="G147" s="135">
        <v>0</v>
      </c>
      <c r="H147" s="135">
        <v>104400</v>
      </c>
      <c r="I147" s="135">
        <v>0</v>
      </c>
      <c r="J147" s="136">
        <v>43601</v>
      </c>
      <c r="K147" s="137" t="s">
        <v>666</v>
      </c>
    </row>
    <row r="148" spans="2:11" ht="15.6" x14ac:dyDescent="0.3">
      <c r="B148" s="130" t="s">
        <v>271</v>
      </c>
      <c r="C148" s="131" t="s">
        <v>275</v>
      </c>
      <c r="D148" s="131">
        <v>4210</v>
      </c>
      <c r="E148" s="132" t="s">
        <v>281</v>
      </c>
      <c r="F148" s="131">
        <v>20</v>
      </c>
      <c r="G148" s="131">
        <v>4</v>
      </c>
      <c r="H148" s="131">
        <v>84200</v>
      </c>
      <c r="I148" s="131">
        <v>16840</v>
      </c>
      <c r="J148" s="133">
        <v>43602</v>
      </c>
      <c r="K148" s="134" t="s">
        <v>488</v>
      </c>
    </row>
    <row r="149" spans="2:11" ht="15.6" x14ac:dyDescent="0.3">
      <c r="B149" s="126" t="s">
        <v>282</v>
      </c>
      <c r="C149" s="135" t="s">
        <v>284</v>
      </c>
      <c r="D149" s="135">
        <v>4800</v>
      </c>
      <c r="E149" s="127" t="s">
        <v>270</v>
      </c>
      <c r="F149" s="135">
        <v>27</v>
      </c>
      <c r="G149" s="135">
        <v>4</v>
      </c>
      <c r="H149" s="135">
        <v>129600</v>
      </c>
      <c r="I149" s="135">
        <v>19200</v>
      </c>
      <c r="J149" s="136">
        <v>43602</v>
      </c>
      <c r="K149" s="137" t="s">
        <v>498</v>
      </c>
    </row>
    <row r="150" spans="2:11" ht="15.6" x14ac:dyDescent="0.3">
      <c r="B150" s="130" t="s">
        <v>294</v>
      </c>
      <c r="C150" s="131" t="s">
        <v>275</v>
      </c>
      <c r="D150" s="131">
        <v>1850</v>
      </c>
      <c r="E150" s="132" t="s">
        <v>270</v>
      </c>
      <c r="F150" s="131">
        <v>12</v>
      </c>
      <c r="G150" s="131">
        <v>1</v>
      </c>
      <c r="H150" s="131">
        <v>22200</v>
      </c>
      <c r="I150" s="131">
        <v>1850</v>
      </c>
      <c r="J150" s="133">
        <v>43603</v>
      </c>
      <c r="K150" s="134" t="s">
        <v>666</v>
      </c>
    </row>
    <row r="151" spans="2:11" ht="15.6" x14ac:dyDescent="0.3">
      <c r="B151" s="126" t="s">
        <v>288</v>
      </c>
      <c r="C151" s="135" t="s">
        <v>280</v>
      </c>
      <c r="D151" s="135">
        <v>1450</v>
      </c>
      <c r="E151" s="127" t="s">
        <v>276</v>
      </c>
      <c r="F151" s="135">
        <v>14</v>
      </c>
      <c r="G151" s="135">
        <v>1</v>
      </c>
      <c r="H151" s="135">
        <v>20300</v>
      </c>
      <c r="I151" s="135">
        <v>1450</v>
      </c>
      <c r="J151" s="136">
        <v>43604</v>
      </c>
      <c r="K151" s="137" t="s">
        <v>666</v>
      </c>
    </row>
    <row r="152" spans="2:11" ht="15.6" x14ac:dyDescent="0.3">
      <c r="B152" s="130" t="s">
        <v>278</v>
      </c>
      <c r="C152" s="131" t="s">
        <v>285</v>
      </c>
      <c r="D152" s="131">
        <v>1790</v>
      </c>
      <c r="E152" s="132" t="s">
        <v>270</v>
      </c>
      <c r="F152" s="131">
        <v>31</v>
      </c>
      <c r="G152" s="131">
        <v>1</v>
      </c>
      <c r="H152" s="131">
        <v>55490</v>
      </c>
      <c r="I152" s="131">
        <v>1790</v>
      </c>
      <c r="J152" s="133">
        <v>43605</v>
      </c>
      <c r="K152" s="134" t="s">
        <v>680</v>
      </c>
    </row>
    <row r="153" spans="2:11" ht="15.6" x14ac:dyDescent="0.3">
      <c r="B153" s="126" t="s">
        <v>290</v>
      </c>
      <c r="C153" s="135" t="s">
        <v>285</v>
      </c>
      <c r="D153" s="135">
        <v>1200</v>
      </c>
      <c r="E153" s="127" t="s">
        <v>270</v>
      </c>
      <c r="F153" s="135">
        <v>42</v>
      </c>
      <c r="G153" s="135">
        <v>2</v>
      </c>
      <c r="H153" s="135">
        <v>50400</v>
      </c>
      <c r="I153" s="135">
        <v>2400</v>
      </c>
      <c r="J153" s="136">
        <v>43606</v>
      </c>
      <c r="K153" s="137" t="s">
        <v>666</v>
      </c>
    </row>
    <row r="154" spans="2:11" ht="15.6" x14ac:dyDescent="0.3">
      <c r="B154" s="130" t="s">
        <v>271</v>
      </c>
      <c r="C154" s="131" t="s">
        <v>283</v>
      </c>
      <c r="D154" s="131">
        <v>4350</v>
      </c>
      <c r="E154" s="132" t="s">
        <v>281</v>
      </c>
      <c r="F154" s="131">
        <v>41</v>
      </c>
      <c r="G154" s="131">
        <v>2</v>
      </c>
      <c r="H154" s="131">
        <v>178350</v>
      </c>
      <c r="I154" s="131">
        <v>8700</v>
      </c>
      <c r="J154" s="133">
        <v>43607</v>
      </c>
      <c r="K154" s="134" t="s">
        <v>488</v>
      </c>
    </row>
    <row r="155" spans="2:11" ht="15.6" x14ac:dyDescent="0.3">
      <c r="B155" s="126" t="s">
        <v>268</v>
      </c>
      <c r="C155" s="135" t="s">
        <v>292</v>
      </c>
      <c r="D155" s="135">
        <v>3750</v>
      </c>
      <c r="E155" s="127" t="s">
        <v>273</v>
      </c>
      <c r="F155" s="135">
        <v>40</v>
      </c>
      <c r="G155" s="135">
        <v>0</v>
      </c>
      <c r="H155" s="135">
        <v>150000</v>
      </c>
      <c r="I155" s="135">
        <v>0</v>
      </c>
      <c r="J155" s="136">
        <v>43607</v>
      </c>
      <c r="K155" s="137" t="s">
        <v>680</v>
      </c>
    </row>
    <row r="156" spans="2:11" ht="15.6" x14ac:dyDescent="0.3">
      <c r="B156" s="130" t="s">
        <v>282</v>
      </c>
      <c r="C156" s="131" t="s">
        <v>275</v>
      </c>
      <c r="D156" s="131">
        <v>3200</v>
      </c>
      <c r="E156" s="132" t="s">
        <v>276</v>
      </c>
      <c r="F156" s="131">
        <v>47</v>
      </c>
      <c r="G156" s="131">
        <v>0</v>
      </c>
      <c r="H156" s="131">
        <v>150400</v>
      </c>
      <c r="I156" s="131">
        <v>0</v>
      </c>
      <c r="J156" s="133">
        <v>43607</v>
      </c>
      <c r="K156" s="134" t="s">
        <v>498</v>
      </c>
    </row>
    <row r="157" spans="2:11" ht="15.6" x14ac:dyDescent="0.3">
      <c r="B157" s="126" t="s">
        <v>288</v>
      </c>
      <c r="C157" s="135" t="s">
        <v>284</v>
      </c>
      <c r="D157" s="135">
        <v>3350</v>
      </c>
      <c r="E157" s="127" t="s">
        <v>276</v>
      </c>
      <c r="F157" s="135">
        <v>38</v>
      </c>
      <c r="G157" s="135">
        <v>3</v>
      </c>
      <c r="H157" s="135">
        <v>127300</v>
      </c>
      <c r="I157" s="135">
        <v>10050</v>
      </c>
      <c r="J157" s="136">
        <v>43609</v>
      </c>
      <c r="K157" s="137" t="s">
        <v>666</v>
      </c>
    </row>
    <row r="158" spans="2:11" ht="15.6" x14ac:dyDescent="0.3">
      <c r="B158" s="130" t="s">
        <v>282</v>
      </c>
      <c r="C158" s="131" t="s">
        <v>275</v>
      </c>
      <c r="D158" s="131">
        <v>1400</v>
      </c>
      <c r="E158" s="132" t="s">
        <v>286</v>
      </c>
      <c r="F158" s="131">
        <v>46</v>
      </c>
      <c r="G158" s="131">
        <v>4</v>
      </c>
      <c r="H158" s="131">
        <v>64400</v>
      </c>
      <c r="I158" s="131">
        <v>5600</v>
      </c>
      <c r="J158" s="133">
        <v>43610</v>
      </c>
      <c r="K158" s="134" t="s">
        <v>498</v>
      </c>
    </row>
    <row r="159" spans="2:11" ht="15.6" x14ac:dyDescent="0.3">
      <c r="B159" s="126" t="s">
        <v>282</v>
      </c>
      <c r="C159" s="135" t="s">
        <v>275</v>
      </c>
      <c r="D159" s="135">
        <v>3200</v>
      </c>
      <c r="E159" s="127" t="s">
        <v>286</v>
      </c>
      <c r="F159" s="135">
        <v>50</v>
      </c>
      <c r="G159" s="135">
        <v>4</v>
      </c>
      <c r="H159" s="135">
        <v>160000</v>
      </c>
      <c r="I159" s="135">
        <v>12800</v>
      </c>
      <c r="J159" s="136">
        <v>43612</v>
      </c>
      <c r="K159" s="137" t="s">
        <v>498</v>
      </c>
    </row>
    <row r="160" spans="2:11" ht="15.6" x14ac:dyDescent="0.3">
      <c r="B160" s="130" t="s">
        <v>291</v>
      </c>
      <c r="C160" s="131" t="s">
        <v>283</v>
      </c>
      <c r="D160" s="131">
        <v>4590</v>
      </c>
      <c r="E160" s="132" t="s">
        <v>270</v>
      </c>
      <c r="F160" s="131">
        <v>28</v>
      </c>
      <c r="G160" s="131">
        <v>2</v>
      </c>
      <c r="H160" s="131">
        <v>128520</v>
      </c>
      <c r="I160" s="131">
        <v>9180</v>
      </c>
      <c r="J160" s="133">
        <v>43613</v>
      </c>
      <c r="K160" s="134" t="s">
        <v>666</v>
      </c>
    </row>
    <row r="161" spans="2:11" ht="15.6" x14ac:dyDescent="0.3">
      <c r="B161" s="126" t="s">
        <v>290</v>
      </c>
      <c r="C161" s="135" t="s">
        <v>285</v>
      </c>
      <c r="D161" s="135">
        <v>1200</v>
      </c>
      <c r="E161" s="127" t="s">
        <v>276</v>
      </c>
      <c r="F161" s="135">
        <v>33</v>
      </c>
      <c r="G161" s="135">
        <v>3</v>
      </c>
      <c r="H161" s="135">
        <v>39600</v>
      </c>
      <c r="I161" s="135">
        <v>3600</v>
      </c>
      <c r="J161" s="136">
        <v>43614</v>
      </c>
      <c r="K161" s="137" t="s">
        <v>666</v>
      </c>
    </row>
    <row r="162" spans="2:11" ht="15.6" x14ac:dyDescent="0.3">
      <c r="B162" s="130" t="s">
        <v>288</v>
      </c>
      <c r="C162" s="131" t="s">
        <v>277</v>
      </c>
      <c r="D162" s="131">
        <v>2920</v>
      </c>
      <c r="E162" s="132" t="s">
        <v>281</v>
      </c>
      <c r="F162" s="131">
        <v>21</v>
      </c>
      <c r="G162" s="131">
        <v>1</v>
      </c>
      <c r="H162" s="131">
        <v>61320</v>
      </c>
      <c r="I162" s="131">
        <v>2920</v>
      </c>
      <c r="J162" s="133">
        <v>43616</v>
      </c>
      <c r="K162" s="134" t="s">
        <v>666</v>
      </c>
    </row>
    <row r="163" spans="2:11" ht="15.6" x14ac:dyDescent="0.3">
      <c r="B163" s="126" t="s">
        <v>268</v>
      </c>
      <c r="C163" s="135" t="s">
        <v>295</v>
      </c>
      <c r="D163" s="135">
        <v>4550</v>
      </c>
      <c r="E163" s="127" t="s">
        <v>276</v>
      </c>
      <c r="F163" s="135">
        <v>10</v>
      </c>
      <c r="G163" s="135">
        <v>1</v>
      </c>
      <c r="H163" s="135">
        <v>45500</v>
      </c>
      <c r="I163" s="135">
        <v>4550</v>
      </c>
      <c r="J163" s="136">
        <v>43617</v>
      </c>
      <c r="K163" s="137" t="s">
        <v>680</v>
      </c>
    </row>
    <row r="164" spans="2:11" ht="15.6" x14ac:dyDescent="0.3">
      <c r="B164" s="130" t="s">
        <v>274</v>
      </c>
      <c r="C164" s="131" t="s">
        <v>289</v>
      </c>
      <c r="D164" s="131">
        <v>1150</v>
      </c>
      <c r="E164" s="132" t="s">
        <v>270</v>
      </c>
      <c r="F164" s="131">
        <v>13</v>
      </c>
      <c r="G164" s="131">
        <v>0</v>
      </c>
      <c r="H164" s="131">
        <v>14950</v>
      </c>
      <c r="I164" s="131">
        <v>0</v>
      </c>
      <c r="J164" s="133">
        <v>43620</v>
      </c>
      <c r="K164" s="134" t="s">
        <v>488</v>
      </c>
    </row>
    <row r="165" spans="2:11" ht="15.6" x14ac:dyDescent="0.3">
      <c r="B165" s="126" t="s">
        <v>293</v>
      </c>
      <c r="C165" s="135" t="s">
        <v>283</v>
      </c>
      <c r="D165" s="135">
        <v>1400</v>
      </c>
      <c r="E165" s="127" t="s">
        <v>273</v>
      </c>
      <c r="F165" s="135">
        <v>39</v>
      </c>
      <c r="G165" s="135">
        <v>1</v>
      </c>
      <c r="H165" s="135">
        <v>54600</v>
      </c>
      <c r="I165" s="135">
        <v>1400</v>
      </c>
      <c r="J165" s="136">
        <v>43621</v>
      </c>
      <c r="K165" s="137" t="s">
        <v>497</v>
      </c>
    </row>
    <row r="166" spans="2:11" ht="15.6" x14ac:dyDescent="0.3">
      <c r="B166" s="130" t="s">
        <v>268</v>
      </c>
      <c r="C166" s="131" t="s">
        <v>272</v>
      </c>
      <c r="D166" s="131">
        <v>4700</v>
      </c>
      <c r="E166" s="132" t="s">
        <v>273</v>
      </c>
      <c r="F166" s="131">
        <v>43</v>
      </c>
      <c r="G166" s="131">
        <v>0</v>
      </c>
      <c r="H166" s="131">
        <v>202100</v>
      </c>
      <c r="I166" s="131">
        <v>0</v>
      </c>
      <c r="J166" s="133">
        <v>43624</v>
      </c>
      <c r="K166" s="134" t="s">
        <v>680</v>
      </c>
    </row>
    <row r="167" spans="2:11" ht="15.6" x14ac:dyDescent="0.3">
      <c r="B167" s="126" t="s">
        <v>293</v>
      </c>
      <c r="C167" s="135" t="s">
        <v>289</v>
      </c>
      <c r="D167" s="135">
        <v>2100</v>
      </c>
      <c r="E167" s="127" t="s">
        <v>286</v>
      </c>
      <c r="F167" s="135">
        <v>18</v>
      </c>
      <c r="G167" s="135">
        <v>4</v>
      </c>
      <c r="H167" s="135">
        <v>37800</v>
      </c>
      <c r="I167" s="135">
        <v>8400</v>
      </c>
      <c r="J167" s="136">
        <v>43627</v>
      </c>
      <c r="K167" s="137" t="s">
        <v>497</v>
      </c>
    </row>
    <row r="168" spans="2:11" ht="15.6" x14ac:dyDescent="0.3">
      <c r="B168" s="130" t="s">
        <v>291</v>
      </c>
      <c r="C168" s="131" t="s">
        <v>289</v>
      </c>
      <c r="D168" s="131">
        <v>4550</v>
      </c>
      <c r="E168" s="132" t="s">
        <v>281</v>
      </c>
      <c r="F168" s="131">
        <v>19</v>
      </c>
      <c r="G168" s="131">
        <v>3</v>
      </c>
      <c r="H168" s="131">
        <v>86450</v>
      </c>
      <c r="I168" s="131">
        <v>13650</v>
      </c>
      <c r="J168" s="133">
        <v>43628</v>
      </c>
      <c r="K168" s="134" t="s">
        <v>666</v>
      </c>
    </row>
    <row r="169" spans="2:11" ht="15.6" x14ac:dyDescent="0.3">
      <c r="B169" s="126" t="s">
        <v>278</v>
      </c>
      <c r="C169" s="135" t="s">
        <v>280</v>
      </c>
      <c r="D169" s="135">
        <v>2540</v>
      </c>
      <c r="E169" s="127" t="s">
        <v>287</v>
      </c>
      <c r="F169" s="135">
        <v>32</v>
      </c>
      <c r="G169" s="135">
        <v>4</v>
      </c>
      <c r="H169" s="135">
        <v>81280</v>
      </c>
      <c r="I169" s="135">
        <v>10160</v>
      </c>
      <c r="J169" s="136">
        <v>43629</v>
      </c>
      <c r="K169" s="137" t="s">
        <v>680</v>
      </c>
    </row>
    <row r="170" spans="2:11" ht="15.6" x14ac:dyDescent="0.3">
      <c r="B170" s="130" t="s">
        <v>278</v>
      </c>
      <c r="C170" s="131" t="s">
        <v>280</v>
      </c>
      <c r="D170" s="131">
        <v>2600</v>
      </c>
      <c r="E170" s="132" t="s">
        <v>286</v>
      </c>
      <c r="F170" s="131">
        <v>17</v>
      </c>
      <c r="G170" s="131">
        <v>2</v>
      </c>
      <c r="H170" s="131">
        <v>44200</v>
      </c>
      <c r="I170" s="131">
        <v>5200</v>
      </c>
      <c r="J170" s="133">
        <v>43629</v>
      </c>
      <c r="K170" s="134" t="s">
        <v>680</v>
      </c>
    </row>
    <row r="171" spans="2:11" ht="15.6" x14ac:dyDescent="0.3">
      <c r="B171" s="126" t="s">
        <v>291</v>
      </c>
      <c r="C171" s="135" t="s">
        <v>277</v>
      </c>
      <c r="D171" s="135">
        <v>10500</v>
      </c>
      <c r="E171" s="127" t="s">
        <v>287</v>
      </c>
      <c r="F171" s="135">
        <v>49</v>
      </c>
      <c r="G171" s="135">
        <v>0</v>
      </c>
      <c r="H171" s="135">
        <v>514500</v>
      </c>
      <c r="I171" s="135">
        <v>0</v>
      </c>
      <c r="J171" s="136">
        <v>43630</v>
      </c>
      <c r="K171" s="137" t="s">
        <v>666</v>
      </c>
    </row>
    <row r="172" spans="2:11" ht="15.6" x14ac:dyDescent="0.3">
      <c r="B172" s="130" t="s">
        <v>293</v>
      </c>
      <c r="C172" s="131" t="s">
        <v>277</v>
      </c>
      <c r="D172" s="131">
        <v>1200</v>
      </c>
      <c r="E172" s="132" t="s">
        <v>276</v>
      </c>
      <c r="F172" s="131">
        <v>46</v>
      </c>
      <c r="G172" s="131">
        <v>2</v>
      </c>
      <c r="H172" s="131">
        <v>55200</v>
      </c>
      <c r="I172" s="131">
        <v>2400</v>
      </c>
      <c r="J172" s="133">
        <v>43630</v>
      </c>
      <c r="K172" s="134" t="s">
        <v>497</v>
      </c>
    </row>
    <row r="173" spans="2:11" ht="15.6" x14ac:dyDescent="0.3">
      <c r="B173" s="126" t="s">
        <v>290</v>
      </c>
      <c r="C173" s="135" t="s">
        <v>280</v>
      </c>
      <c r="D173" s="135">
        <v>1000</v>
      </c>
      <c r="E173" s="127" t="s">
        <v>273</v>
      </c>
      <c r="F173" s="135">
        <v>32</v>
      </c>
      <c r="G173" s="135">
        <v>4</v>
      </c>
      <c r="H173" s="135">
        <v>32000</v>
      </c>
      <c r="I173" s="135">
        <v>4000</v>
      </c>
      <c r="J173" s="136">
        <v>43631</v>
      </c>
      <c r="K173" s="137" t="s">
        <v>666</v>
      </c>
    </row>
    <row r="174" spans="2:11" ht="15.6" x14ac:dyDescent="0.3">
      <c r="B174" s="130" t="s">
        <v>279</v>
      </c>
      <c r="C174" s="131" t="s">
        <v>289</v>
      </c>
      <c r="D174" s="131">
        <v>1800</v>
      </c>
      <c r="E174" s="132" t="s">
        <v>281</v>
      </c>
      <c r="F174" s="131">
        <v>44</v>
      </c>
      <c r="G174" s="131">
        <v>0</v>
      </c>
      <c r="H174" s="131">
        <v>79200</v>
      </c>
      <c r="I174" s="131">
        <v>0</v>
      </c>
      <c r="J174" s="133">
        <v>43631</v>
      </c>
      <c r="K174" s="134" t="s">
        <v>687</v>
      </c>
    </row>
    <row r="175" spans="2:11" ht="15.6" x14ac:dyDescent="0.3">
      <c r="B175" s="126" t="s">
        <v>288</v>
      </c>
      <c r="C175" s="135" t="s">
        <v>277</v>
      </c>
      <c r="D175" s="135">
        <v>2850</v>
      </c>
      <c r="E175" s="127" t="s">
        <v>286</v>
      </c>
      <c r="F175" s="135">
        <v>21</v>
      </c>
      <c r="G175" s="135">
        <v>3</v>
      </c>
      <c r="H175" s="135">
        <v>59850</v>
      </c>
      <c r="I175" s="135">
        <v>8550</v>
      </c>
      <c r="J175" s="136">
        <v>43633</v>
      </c>
      <c r="K175" s="137" t="s">
        <v>666</v>
      </c>
    </row>
    <row r="176" spans="2:11" ht="15.6" x14ac:dyDescent="0.3">
      <c r="B176" s="130" t="s">
        <v>278</v>
      </c>
      <c r="C176" s="131" t="s">
        <v>277</v>
      </c>
      <c r="D176" s="131">
        <v>2500</v>
      </c>
      <c r="E176" s="132" t="s">
        <v>281</v>
      </c>
      <c r="F176" s="131">
        <v>49</v>
      </c>
      <c r="G176" s="131">
        <v>3</v>
      </c>
      <c r="H176" s="131">
        <v>122500</v>
      </c>
      <c r="I176" s="131">
        <v>7500</v>
      </c>
      <c r="J176" s="133">
        <v>43634</v>
      </c>
      <c r="K176" s="134" t="s">
        <v>680</v>
      </c>
    </row>
    <row r="177" spans="2:11" ht="15.6" x14ac:dyDescent="0.3">
      <c r="B177" s="126" t="s">
        <v>282</v>
      </c>
      <c r="C177" s="135" t="s">
        <v>280</v>
      </c>
      <c r="D177" s="135">
        <v>2570</v>
      </c>
      <c r="E177" s="127" t="s">
        <v>270</v>
      </c>
      <c r="F177" s="135">
        <v>23</v>
      </c>
      <c r="G177" s="135">
        <v>3</v>
      </c>
      <c r="H177" s="135">
        <v>59110</v>
      </c>
      <c r="I177" s="135">
        <v>7710</v>
      </c>
      <c r="J177" s="136">
        <v>43634</v>
      </c>
      <c r="K177" s="137" t="s">
        <v>498</v>
      </c>
    </row>
    <row r="178" spans="2:11" ht="15.6" x14ac:dyDescent="0.3">
      <c r="B178" s="130" t="s">
        <v>282</v>
      </c>
      <c r="C178" s="131" t="s">
        <v>283</v>
      </c>
      <c r="D178" s="131">
        <v>2400</v>
      </c>
      <c r="E178" s="132" t="s">
        <v>286</v>
      </c>
      <c r="F178" s="131">
        <v>22</v>
      </c>
      <c r="G178" s="131">
        <v>2</v>
      </c>
      <c r="H178" s="131">
        <v>52800</v>
      </c>
      <c r="I178" s="131">
        <v>4800</v>
      </c>
      <c r="J178" s="133">
        <v>43635</v>
      </c>
      <c r="K178" s="134" t="s">
        <v>498</v>
      </c>
    </row>
    <row r="179" spans="2:11" ht="15.6" x14ac:dyDescent="0.3">
      <c r="B179" s="126" t="s">
        <v>271</v>
      </c>
      <c r="C179" s="135" t="s">
        <v>277</v>
      </c>
      <c r="D179" s="135">
        <v>4050</v>
      </c>
      <c r="E179" s="127" t="s">
        <v>281</v>
      </c>
      <c r="F179" s="135">
        <v>17</v>
      </c>
      <c r="G179" s="135">
        <v>0</v>
      </c>
      <c r="H179" s="135">
        <v>68850</v>
      </c>
      <c r="I179" s="135">
        <v>0</v>
      </c>
      <c r="J179" s="136">
        <v>43636</v>
      </c>
      <c r="K179" s="137" t="s">
        <v>488</v>
      </c>
    </row>
    <row r="180" spans="2:11" ht="15.6" x14ac:dyDescent="0.3">
      <c r="B180" s="130" t="s">
        <v>268</v>
      </c>
      <c r="C180" s="131" t="s">
        <v>269</v>
      </c>
      <c r="D180" s="131">
        <v>2800</v>
      </c>
      <c r="E180" s="132" t="s">
        <v>281</v>
      </c>
      <c r="F180" s="131">
        <v>46</v>
      </c>
      <c r="G180" s="131">
        <v>3</v>
      </c>
      <c r="H180" s="131">
        <v>128800</v>
      </c>
      <c r="I180" s="131">
        <v>8400</v>
      </c>
      <c r="J180" s="133">
        <v>43636</v>
      </c>
      <c r="K180" s="134" t="s">
        <v>680</v>
      </c>
    </row>
    <row r="181" spans="2:11" ht="15.6" x14ac:dyDescent="0.3">
      <c r="B181" s="126" t="s">
        <v>282</v>
      </c>
      <c r="C181" s="135" t="s">
        <v>277</v>
      </c>
      <c r="D181" s="135">
        <v>3300</v>
      </c>
      <c r="E181" s="127" t="s">
        <v>281</v>
      </c>
      <c r="F181" s="135">
        <v>34</v>
      </c>
      <c r="G181" s="135">
        <v>1</v>
      </c>
      <c r="H181" s="135">
        <v>112200</v>
      </c>
      <c r="I181" s="135">
        <v>3300</v>
      </c>
      <c r="J181" s="136">
        <v>43636</v>
      </c>
      <c r="K181" s="137" t="s">
        <v>498</v>
      </c>
    </row>
    <row r="182" spans="2:11" ht="15.6" x14ac:dyDescent="0.3">
      <c r="B182" s="130" t="s">
        <v>293</v>
      </c>
      <c r="C182" s="131" t="s">
        <v>275</v>
      </c>
      <c r="D182" s="131">
        <v>1300</v>
      </c>
      <c r="E182" s="132" t="s">
        <v>276</v>
      </c>
      <c r="F182" s="131">
        <v>17</v>
      </c>
      <c r="G182" s="131">
        <v>2</v>
      </c>
      <c r="H182" s="131">
        <v>22100</v>
      </c>
      <c r="I182" s="131">
        <v>2600</v>
      </c>
      <c r="J182" s="133">
        <v>43636</v>
      </c>
      <c r="K182" s="134" t="s">
        <v>497</v>
      </c>
    </row>
    <row r="183" spans="2:11" ht="15.6" x14ac:dyDescent="0.3">
      <c r="B183" s="126" t="s">
        <v>274</v>
      </c>
      <c r="C183" s="135" t="s">
        <v>283</v>
      </c>
      <c r="D183" s="135">
        <v>1560</v>
      </c>
      <c r="E183" s="127" t="s">
        <v>270</v>
      </c>
      <c r="F183" s="135">
        <v>25</v>
      </c>
      <c r="G183" s="135">
        <v>3</v>
      </c>
      <c r="H183" s="135">
        <v>39000</v>
      </c>
      <c r="I183" s="135">
        <v>4680</v>
      </c>
      <c r="J183" s="136">
        <v>43639</v>
      </c>
      <c r="K183" s="137" t="s">
        <v>488</v>
      </c>
    </row>
    <row r="184" spans="2:11" ht="15.6" x14ac:dyDescent="0.3">
      <c r="B184" s="130" t="s">
        <v>278</v>
      </c>
      <c r="C184" s="131" t="s">
        <v>277</v>
      </c>
      <c r="D184" s="131">
        <v>2560</v>
      </c>
      <c r="E184" s="132" t="s">
        <v>287</v>
      </c>
      <c r="F184" s="131">
        <v>28</v>
      </c>
      <c r="G184" s="131">
        <v>1</v>
      </c>
      <c r="H184" s="131">
        <v>71680</v>
      </c>
      <c r="I184" s="131">
        <v>2560</v>
      </c>
      <c r="J184" s="133">
        <v>43639</v>
      </c>
      <c r="K184" s="134" t="s">
        <v>680</v>
      </c>
    </row>
    <row r="185" spans="2:11" ht="15.6" x14ac:dyDescent="0.3">
      <c r="B185" s="126" t="s">
        <v>288</v>
      </c>
      <c r="C185" s="135" t="s">
        <v>289</v>
      </c>
      <c r="D185" s="135">
        <v>4500</v>
      </c>
      <c r="E185" s="127" t="s">
        <v>281</v>
      </c>
      <c r="F185" s="135">
        <v>10</v>
      </c>
      <c r="G185" s="135">
        <v>0</v>
      </c>
      <c r="H185" s="135">
        <v>45000</v>
      </c>
      <c r="I185" s="135">
        <v>0</v>
      </c>
      <c r="J185" s="136">
        <v>43640</v>
      </c>
      <c r="K185" s="137" t="s">
        <v>666</v>
      </c>
    </row>
    <row r="186" spans="2:11" ht="15.6" x14ac:dyDescent="0.3">
      <c r="B186" s="130" t="s">
        <v>291</v>
      </c>
      <c r="C186" s="131" t="s">
        <v>283</v>
      </c>
      <c r="D186" s="131">
        <v>4590</v>
      </c>
      <c r="E186" s="132" t="s">
        <v>273</v>
      </c>
      <c r="F186" s="131">
        <v>29</v>
      </c>
      <c r="G186" s="131">
        <v>4</v>
      </c>
      <c r="H186" s="131">
        <v>133110</v>
      </c>
      <c r="I186" s="131">
        <v>18360</v>
      </c>
      <c r="J186" s="133">
        <v>43644</v>
      </c>
      <c r="K186" s="134" t="s">
        <v>666</v>
      </c>
    </row>
    <row r="187" spans="2:11" ht="15.6" x14ac:dyDescent="0.3">
      <c r="B187" s="126" t="s">
        <v>279</v>
      </c>
      <c r="C187" s="135" t="s">
        <v>280</v>
      </c>
      <c r="D187" s="135">
        <v>1100</v>
      </c>
      <c r="E187" s="127" t="s">
        <v>287</v>
      </c>
      <c r="F187" s="135">
        <v>38</v>
      </c>
      <c r="G187" s="135">
        <v>4</v>
      </c>
      <c r="H187" s="135">
        <v>41800</v>
      </c>
      <c r="I187" s="135">
        <v>4400</v>
      </c>
      <c r="J187" s="136">
        <v>43644</v>
      </c>
      <c r="K187" s="137" t="s">
        <v>687</v>
      </c>
    </row>
    <row r="188" spans="2:11" ht="15.6" x14ac:dyDescent="0.3">
      <c r="B188" s="130" t="s">
        <v>271</v>
      </c>
      <c r="C188" s="131" t="s">
        <v>283</v>
      </c>
      <c r="D188" s="131">
        <v>4350</v>
      </c>
      <c r="E188" s="132" t="s">
        <v>287</v>
      </c>
      <c r="F188" s="131">
        <v>16</v>
      </c>
      <c r="G188" s="131">
        <v>4</v>
      </c>
      <c r="H188" s="131">
        <v>69600</v>
      </c>
      <c r="I188" s="131">
        <v>17400</v>
      </c>
      <c r="J188" s="133">
        <v>43646</v>
      </c>
      <c r="K188" s="134" t="s">
        <v>488</v>
      </c>
    </row>
    <row r="189" spans="2:11" ht="15.6" x14ac:dyDescent="0.3">
      <c r="B189" s="126" t="s">
        <v>279</v>
      </c>
      <c r="C189" s="135" t="s">
        <v>280</v>
      </c>
      <c r="D189" s="135">
        <v>1000</v>
      </c>
      <c r="E189" s="127" t="s">
        <v>276</v>
      </c>
      <c r="F189" s="135">
        <v>37</v>
      </c>
      <c r="G189" s="135">
        <v>2</v>
      </c>
      <c r="H189" s="135">
        <v>37000</v>
      </c>
      <c r="I189" s="135">
        <v>2000</v>
      </c>
      <c r="J189" s="136">
        <v>43648</v>
      </c>
      <c r="K189" s="137" t="s">
        <v>687</v>
      </c>
    </row>
    <row r="190" spans="2:11" ht="15.6" x14ac:dyDescent="0.3">
      <c r="B190" s="130" t="s">
        <v>291</v>
      </c>
      <c r="C190" s="131" t="s">
        <v>277</v>
      </c>
      <c r="D190" s="131">
        <v>10010</v>
      </c>
      <c r="E190" s="132" t="s">
        <v>270</v>
      </c>
      <c r="F190" s="131">
        <v>14</v>
      </c>
      <c r="G190" s="131">
        <v>3</v>
      </c>
      <c r="H190" s="131">
        <v>140140</v>
      </c>
      <c r="I190" s="131">
        <v>30030</v>
      </c>
      <c r="J190" s="133">
        <v>43650</v>
      </c>
      <c r="K190" s="134" t="s">
        <v>666</v>
      </c>
    </row>
    <row r="191" spans="2:11" ht="15.6" x14ac:dyDescent="0.3">
      <c r="B191" s="126" t="s">
        <v>271</v>
      </c>
      <c r="C191" s="135" t="s">
        <v>272</v>
      </c>
      <c r="D191" s="135">
        <v>3900</v>
      </c>
      <c r="E191" s="127" t="s">
        <v>276</v>
      </c>
      <c r="F191" s="135">
        <v>36</v>
      </c>
      <c r="G191" s="135">
        <v>1</v>
      </c>
      <c r="H191" s="135">
        <v>140400</v>
      </c>
      <c r="I191" s="135">
        <v>3900</v>
      </c>
      <c r="J191" s="136">
        <v>43650</v>
      </c>
      <c r="K191" s="137" t="s">
        <v>488</v>
      </c>
    </row>
    <row r="192" spans="2:11" ht="15.6" x14ac:dyDescent="0.3">
      <c r="B192" s="130" t="s">
        <v>290</v>
      </c>
      <c r="C192" s="131" t="s">
        <v>280</v>
      </c>
      <c r="D192" s="131">
        <v>800</v>
      </c>
      <c r="E192" s="132" t="s">
        <v>286</v>
      </c>
      <c r="F192" s="131">
        <v>12</v>
      </c>
      <c r="G192" s="131">
        <v>2</v>
      </c>
      <c r="H192" s="131">
        <v>9600</v>
      </c>
      <c r="I192" s="131">
        <v>1600</v>
      </c>
      <c r="J192" s="133">
        <v>43651</v>
      </c>
      <c r="K192" s="134" t="s">
        <v>666</v>
      </c>
    </row>
    <row r="193" spans="2:11" ht="15.6" x14ac:dyDescent="0.3">
      <c r="B193" s="126" t="s">
        <v>293</v>
      </c>
      <c r="C193" s="135" t="s">
        <v>285</v>
      </c>
      <c r="D193" s="135">
        <v>1700</v>
      </c>
      <c r="E193" s="127" t="s">
        <v>270</v>
      </c>
      <c r="F193" s="135">
        <v>16</v>
      </c>
      <c r="G193" s="135">
        <v>2</v>
      </c>
      <c r="H193" s="135">
        <v>27200</v>
      </c>
      <c r="I193" s="135">
        <v>3400</v>
      </c>
      <c r="J193" s="136">
        <v>43653</v>
      </c>
      <c r="K193" s="137" t="s">
        <v>497</v>
      </c>
    </row>
    <row r="194" spans="2:11" ht="15.6" x14ac:dyDescent="0.3">
      <c r="B194" s="130" t="s">
        <v>282</v>
      </c>
      <c r="C194" s="131" t="s">
        <v>285</v>
      </c>
      <c r="D194" s="131">
        <v>1990</v>
      </c>
      <c r="E194" s="132" t="s">
        <v>287</v>
      </c>
      <c r="F194" s="131">
        <v>38</v>
      </c>
      <c r="G194" s="131">
        <v>3</v>
      </c>
      <c r="H194" s="131">
        <v>75620</v>
      </c>
      <c r="I194" s="131">
        <v>5970</v>
      </c>
      <c r="J194" s="133">
        <v>43654</v>
      </c>
      <c r="K194" s="134" t="s">
        <v>498</v>
      </c>
    </row>
    <row r="195" spans="2:11" ht="15.6" x14ac:dyDescent="0.3">
      <c r="B195" s="126" t="s">
        <v>288</v>
      </c>
      <c r="C195" s="135" t="s">
        <v>277</v>
      </c>
      <c r="D195" s="135">
        <v>2950</v>
      </c>
      <c r="E195" s="127" t="s">
        <v>276</v>
      </c>
      <c r="F195" s="135">
        <v>38</v>
      </c>
      <c r="G195" s="135">
        <v>0</v>
      </c>
      <c r="H195" s="135">
        <v>112100</v>
      </c>
      <c r="I195" s="135">
        <v>0</v>
      </c>
      <c r="J195" s="136">
        <v>43655</v>
      </c>
      <c r="K195" s="137" t="s">
        <v>666</v>
      </c>
    </row>
    <row r="196" spans="2:11" ht="15.6" x14ac:dyDescent="0.3">
      <c r="B196" s="130" t="s">
        <v>282</v>
      </c>
      <c r="C196" s="131" t="s">
        <v>283</v>
      </c>
      <c r="D196" s="131">
        <v>2360</v>
      </c>
      <c r="E196" s="132" t="s">
        <v>287</v>
      </c>
      <c r="F196" s="131">
        <v>25</v>
      </c>
      <c r="G196" s="131">
        <v>2</v>
      </c>
      <c r="H196" s="131">
        <v>59000</v>
      </c>
      <c r="I196" s="131">
        <v>4720</v>
      </c>
      <c r="J196" s="133">
        <v>43657</v>
      </c>
      <c r="K196" s="134" t="s">
        <v>498</v>
      </c>
    </row>
    <row r="197" spans="2:11" ht="15.6" x14ac:dyDescent="0.3">
      <c r="B197" s="126" t="s">
        <v>271</v>
      </c>
      <c r="C197" s="135" t="s">
        <v>280</v>
      </c>
      <c r="D197" s="135">
        <v>2850</v>
      </c>
      <c r="E197" s="127" t="s">
        <v>276</v>
      </c>
      <c r="F197" s="135">
        <v>19</v>
      </c>
      <c r="G197" s="135">
        <v>1</v>
      </c>
      <c r="H197" s="135">
        <v>54150</v>
      </c>
      <c r="I197" s="135">
        <v>2850</v>
      </c>
      <c r="J197" s="136">
        <v>43659</v>
      </c>
      <c r="K197" s="137" t="s">
        <v>488</v>
      </c>
    </row>
    <row r="198" spans="2:11" ht="15.6" x14ac:dyDescent="0.3">
      <c r="B198" s="130" t="s">
        <v>274</v>
      </c>
      <c r="C198" s="131" t="s">
        <v>285</v>
      </c>
      <c r="D198" s="131">
        <v>2000</v>
      </c>
      <c r="E198" s="132" t="s">
        <v>281</v>
      </c>
      <c r="F198" s="131">
        <v>14</v>
      </c>
      <c r="G198" s="131">
        <v>4</v>
      </c>
      <c r="H198" s="131">
        <v>28000</v>
      </c>
      <c r="I198" s="131">
        <v>8000</v>
      </c>
      <c r="J198" s="133">
        <v>43660</v>
      </c>
      <c r="K198" s="134" t="s">
        <v>488</v>
      </c>
    </row>
    <row r="199" spans="2:11" ht="15.6" x14ac:dyDescent="0.3">
      <c r="B199" s="126" t="s">
        <v>291</v>
      </c>
      <c r="C199" s="135" t="s">
        <v>283</v>
      </c>
      <c r="D199" s="135">
        <v>4600</v>
      </c>
      <c r="E199" s="127" t="s">
        <v>276</v>
      </c>
      <c r="F199" s="135">
        <v>46</v>
      </c>
      <c r="G199" s="135">
        <v>1</v>
      </c>
      <c r="H199" s="135">
        <v>211600</v>
      </c>
      <c r="I199" s="135">
        <v>4600</v>
      </c>
      <c r="J199" s="136">
        <v>43664</v>
      </c>
      <c r="K199" s="137" t="s">
        <v>666</v>
      </c>
    </row>
    <row r="200" spans="2:11" ht="15.6" x14ac:dyDescent="0.3">
      <c r="B200" s="130" t="s">
        <v>279</v>
      </c>
      <c r="C200" s="131" t="s">
        <v>275</v>
      </c>
      <c r="D200" s="131">
        <v>900</v>
      </c>
      <c r="E200" s="132" t="s">
        <v>273</v>
      </c>
      <c r="F200" s="131">
        <v>39</v>
      </c>
      <c r="G200" s="131">
        <v>4</v>
      </c>
      <c r="H200" s="131">
        <v>35100</v>
      </c>
      <c r="I200" s="131">
        <v>3600</v>
      </c>
      <c r="J200" s="133">
        <v>43667</v>
      </c>
      <c r="K200" s="134" t="s">
        <v>687</v>
      </c>
    </row>
    <row r="201" spans="2:11" ht="15.6" x14ac:dyDescent="0.3">
      <c r="B201" s="126" t="s">
        <v>279</v>
      </c>
      <c r="C201" s="135" t="s">
        <v>275</v>
      </c>
      <c r="D201" s="135">
        <v>1000</v>
      </c>
      <c r="E201" s="127" t="s">
        <v>276</v>
      </c>
      <c r="F201" s="135">
        <v>42</v>
      </c>
      <c r="G201" s="135">
        <v>1</v>
      </c>
      <c r="H201" s="135">
        <v>42000</v>
      </c>
      <c r="I201" s="135">
        <v>1000</v>
      </c>
      <c r="J201" s="136">
        <v>43668</v>
      </c>
      <c r="K201" s="137" t="s">
        <v>687</v>
      </c>
    </row>
    <row r="202" spans="2:11" ht="15.6" x14ac:dyDescent="0.3">
      <c r="B202" s="130" t="s">
        <v>274</v>
      </c>
      <c r="C202" s="131" t="s">
        <v>283</v>
      </c>
      <c r="D202" s="131">
        <v>1560</v>
      </c>
      <c r="E202" s="132" t="s">
        <v>273</v>
      </c>
      <c r="F202" s="131">
        <v>40</v>
      </c>
      <c r="G202" s="131">
        <v>4</v>
      </c>
      <c r="H202" s="131">
        <v>62400</v>
      </c>
      <c r="I202" s="131">
        <v>6240</v>
      </c>
      <c r="J202" s="133">
        <v>43671</v>
      </c>
      <c r="K202" s="134" t="s">
        <v>488</v>
      </c>
    </row>
    <row r="203" spans="2:11" ht="15.6" x14ac:dyDescent="0.3">
      <c r="B203" s="126" t="s">
        <v>271</v>
      </c>
      <c r="C203" s="135" t="s">
        <v>275</v>
      </c>
      <c r="D203" s="135">
        <v>4210</v>
      </c>
      <c r="E203" s="127" t="s">
        <v>270</v>
      </c>
      <c r="F203" s="135">
        <v>35</v>
      </c>
      <c r="G203" s="135">
        <v>2</v>
      </c>
      <c r="H203" s="135">
        <v>147350</v>
      </c>
      <c r="I203" s="135">
        <v>8420</v>
      </c>
      <c r="J203" s="136">
        <v>43671</v>
      </c>
      <c r="K203" s="137" t="s">
        <v>488</v>
      </c>
    </row>
    <row r="204" spans="2:11" ht="15.6" x14ac:dyDescent="0.3">
      <c r="B204" s="130" t="s">
        <v>293</v>
      </c>
      <c r="C204" s="131" t="s">
        <v>283</v>
      </c>
      <c r="D204" s="131">
        <v>1400</v>
      </c>
      <c r="E204" s="132" t="s">
        <v>286</v>
      </c>
      <c r="F204" s="131">
        <v>23</v>
      </c>
      <c r="G204" s="131">
        <v>4</v>
      </c>
      <c r="H204" s="131">
        <v>32200</v>
      </c>
      <c r="I204" s="131">
        <v>5600</v>
      </c>
      <c r="J204" s="133">
        <v>43671</v>
      </c>
      <c r="K204" s="134" t="s">
        <v>497</v>
      </c>
    </row>
    <row r="205" spans="2:11" ht="15.6" x14ac:dyDescent="0.3">
      <c r="B205" s="126" t="s">
        <v>274</v>
      </c>
      <c r="C205" s="135" t="s">
        <v>285</v>
      </c>
      <c r="D205" s="135">
        <v>2000</v>
      </c>
      <c r="E205" s="127" t="s">
        <v>276</v>
      </c>
      <c r="F205" s="135">
        <v>40</v>
      </c>
      <c r="G205" s="135">
        <v>3</v>
      </c>
      <c r="H205" s="135">
        <v>80000</v>
      </c>
      <c r="I205" s="135">
        <v>6000</v>
      </c>
      <c r="J205" s="136">
        <v>43672</v>
      </c>
      <c r="K205" s="137" t="s">
        <v>488</v>
      </c>
    </row>
    <row r="206" spans="2:11" ht="15.6" x14ac:dyDescent="0.3">
      <c r="B206" s="130" t="s">
        <v>278</v>
      </c>
      <c r="C206" s="131" t="s">
        <v>277</v>
      </c>
      <c r="D206" s="131">
        <v>2600</v>
      </c>
      <c r="E206" s="132" t="s">
        <v>273</v>
      </c>
      <c r="F206" s="131">
        <v>42</v>
      </c>
      <c r="G206" s="131">
        <v>2</v>
      </c>
      <c r="H206" s="131">
        <v>109200</v>
      </c>
      <c r="I206" s="131">
        <v>5200</v>
      </c>
      <c r="J206" s="133">
        <v>43674</v>
      </c>
      <c r="K206" s="134" t="s">
        <v>680</v>
      </c>
    </row>
    <row r="207" spans="2:11" ht="15.6" x14ac:dyDescent="0.3">
      <c r="B207" s="126" t="s">
        <v>282</v>
      </c>
      <c r="C207" s="135" t="s">
        <v>285</v>
      </c>
      <c r="D207" s="135">
        <v>1950</v>
      </c>
      <c r="E207" s="127" t="s">
        <v>281</v>
      </c>
      <c r="F207" s="135">
        <v>33</v>
      </c>
      <c r="G207" s="135">
        <v>1</v>
      </c>
      <c r="H207" s="135">
        <v>64350</v>
      </c>
      <c r="I207" s="135">
        <v>1950</v>
      </c>
      <c r="J207" s="136">
        <v>43674</v>
      </c>
      <c r="K207" s="137" t="s">
        <v>687</v>
      </c>
    </row>
    <row r="208" spans="2:11" ht="15.6" x14ac:dyDescent="0.3">
      <c r="B208" s="130" t="s">
        <v>288</v>
      </c>
      <c r="C208" s="131" t="s">
        <v>280</v>
      </c>
      <c r="D208" s="131">
        <v>1490</v>
      </c>
      <c r="E208" s="132" t="s">
        <v>273</v>
      </c>
      <c r="F208" s="131">
        <v>49</v>
      </c>
      <c r="G208" s="131">
        <v>1</v>
      </c>
      <c r="H208" s="131">
        <v>73010</v>
      </c>
      <c r="I208" s="131">
        <v>1490</v>
      </c>
      <c r="J208" s="133">
        <v>43675</v>
      </c>
      <c r="K208" s="134" t="s">
        <v>666</v>
      </c>
    </row>
    <row r="209" spans="2:11" ht="15.6" x14ac:dyDescent="0.3">
      <c r="B209" s="126" t="s">
        <v>282</v>
      </c>
      <c r="C209" s="135" t="s">
        <v>277</v>
      </c>
      <c r="D209" s="135">
        <v>3100</v>
      </c>
      <c r="E209" s="127" t="s">
        <v>270</v>
      </c>
      <c r="F209" s="135">
        <v>30</v>
      </c>
      <c r="G209" s="135">
        <v>3</v>
      </c>
      <c r="H209" s="135">
        <v>93000</v>
      </c>
      <c r="I209" s="135">
        <v>9300</v>
      </c>
      <c r="J209" s="136">
        <v>43675</v>
      </c>
      <c r="K209" s="137" t="s">
        <v>687</v>
      </c>
    </row>
    <row r="210" spans="2:11" ht="15.6" x14ac:dyDescent="0.3">
      <c r="B210" s="130" t="s">
        <v>288</v>
      </c>
      <c r="C210" s="131" t="s">
        <v>280</v>
      </c>
      <c r="D210" s="131">
        <v>1500</v>
      </c>
      <c r="E210" s="132" t="s">
        <v>287</v>
      </c>
      <c r="F210" s="131">
        <v>20</v>
      </c>
      <c r="G210" s="131">
        <v>1</v>
      </c>
      <c r="H210" s="131">
        <v>30000</v>
      </c>
      <c r="I210" s="131">
        <v>1500</v>
      </c>
      <c r="J210" s="133">
        <v>43676</v>
      </c>
      <c r="K210" s="134" t="s">
        <v>666</v>
      </c>
    </row>
    <row r="211" spans="2:11" ht="15.6" x14ac:dyDescent="0.3">
      <c r="B211" s="126" t="s">
        <v>291</v>
      </c>
      <c r="C211" s="135" t="s">
        <v>280</v>
      </c>
      <c r="D211" s="135">
        <v>5490</v>
      </c>
      <c r="E211" s="127" t="s">
        <v>270</v>
      </c>
      <c r="F211" s="135">
        <v>28</v>
      </c>
      <c r="G211" s="135">
        <v>2</v>
      </c>
      <c r="H211" s="135">
        <v>153720</v>
      </c>
      <c r="I211" s="135">
        <v>10980</v>
      </c>
      <c r="J211" s="136">
        <v>43676</v>
      </c>
      <c r="K211" s="137" t="s">
        <v>666</v>
      </c>
    </row>
    <row r="212" spans="2:11" ht="15.6" x14ac:dyDescent="0.3">
      <c r="B212" s="130" t="s">
        <v>268</v>
      </c>
      <c r="C212" s="131" t="s">
        <v>272</v>
      </c>
      <c r="D212" s="131">
        <v>4800</v>
      </c>
      <c r="E212" s="132" t="s">
        <v>276</v>
      </c>
      <c r="F212" s="131">
        <v>22</v>
      </c>
      <c r="G212" s="131">
        <v>3</v>
      </c>
      <c r="H212" s="131">
        <v>105600</v>
      </c>
      <c r="I212" s="131">
        <v>14400</v>
      </c>
      <c r="J212" s="133">
        <v>43677</v>
      </c>
      <c r="K212" s="134" t="s">
        <v>680</v>
      </c>
    </row>
    <row r="213" spans="2:11" ht="15.6" x14ac:dyDescent="0.3">
      <c r="B213" s="126" t="s">
        <v>293</v>
      </c>
      <c r="C213" s="135" t="s">
        <v>285</v>
      </c>
      <c r="D213" s="135">
        <v>1700</v>
      </c>
      <c r="E213" s="127" t="s">
        <v>287</v>
      </c>
      <c r="F213" s="135">
        <v>42</v>
      </c>
      <c r="G213" s="135">
        <v>3</v>
      </c>
      <c r="H213" s="135">
        <v>71400</v>
      </c>
      <c r="I213" s="135">
        <v>5100</v>
      </c>
      <c r="J213" s="136">
        <v>43683</v>
      </c>
      <c r="K213" s="137" t="s">
        <v>497</v>
      </c>
    </row>
    <row r="214" spans="2:11" ht="15.6" x14ac:dyDescent="0.3">
      <c r="B214" s="130" t="s">
        <v>271</v>
      </c>
      <c r="C214" s="131" t="s">
        <v>284</v>
      </c>
      <c r="D214" s="131">
        <v>2870</v>
      </c>
      <c r="E214" s="132" t="s">
        <v>286</v>
      </c>
      <c r="F214" s="131">
        <v>31</v>
      </c>
      <c r="G214" s="131">
        <v>3</v>
      </c>
      <c r="H214" s="131">
        <v>88970</v>
      </c>
      <c r="I214" s="131">
        <v>8610</v>
      </c>
      <c r="J214" s="133">
        <v>43687</v>
      </c>
      <c r="K214" s="134" t="s">
        <v>488</v>
      </c>
    </row>
    <row r="215" spans="2:11" ht="15.6" x14ac:dyDescent="0.3">
      <c r="B215" s="126" t="s">
        <v>278</v>
      </c>
      <c r="C215" s="135" t="s">
        <v>289</v>
      </c>
      <c r="D215" s="135">
        <v>2710</v>
      </c>
      <c r="E215" s="127" t="s">
        <v>281</v>
      </c>
      <c r="F215" s="135">
        <v>14</v>
      </c>
      <c r="G215" s="135">
        <v>0</v>
      </c>
      <c r="H215" s="135">
        <v>37940</v>
      </c>
      <c r="I215" s="135">
        <v>0</v>
      </c>
      <c r="J215" s="136">
        <v>43688</v>
      </c>
      <c r="K215" s="137" t="s">
        <v>680</v>
      </c>
    </row>
    <row r="216" spans="2:11" ht="15.6" x14ac:dyDescent="0.3">
      <c r="B216" s="130" t="s">
        <v>282</v>
      </c>
      <c r="C216" s="131" t="s">
        <v>277</v>
      </c>
      <c r="D216" s="131">
        <v>3300</v>
      </c>
      <c r="E216" s="132" t="s">
        <v>286</v>
      </c>
      <c r="F216" s="131">
        <v>11</v>
      </c>
      <c r="G216" s="131">
        <v>3</v>
      </c>
      <c r="H216" s="131">
        <v>36300</v>
      </c>
      <c r="I216" s="131">
        <v>9900</v>
      </c>
      <c r="J216" s="133">
        <v>43688</v>
      </c>
      <c r="K216" s="134" t="s">
        <v>687</v>
      </c>
    </row>
    <row r="217" spans="2:11" ht="15.6" x14ac:dyDescent="0.3">
      <c r="B217" s="126" t="s">
        <v>271</v>
      </c>
      <c r="C217" s="135" t="s">
        <v>284</v>
      </c>
      <c r="D217" s="135">
        <v>2870</v>
      </c>
      <c r="E217" s="127" t="s">
        <v>270</v>
      </c>
      <c r="F217" s="135">
        <v>16</v>
      </c>
      <c r="G217" s="135">
        <v>0</v>
      </c>
      <c r="H217" s="135">
        <v>45920</v>
      </c>
      <c r="I217" s="135">
        <v>0</v>
      </c>
      <c r="J217" s="136">
        <v>43689</v>
      </c>
      <c r="K217" s="137" t="s">
        <v>488</v>
      </c>
    </row>
    <row r="218" spans="2:11" ht="15.6" x14ac:dyDescent="0.3">
      <c r="B218" s="130" t="s">
        <v>282</v>
      </c>
      <c r="C218" s="131" t="s">
        <v>277</v>
      </c>
      <c r="D218" s="131">
        <v>3140</v>
      </c>
      <c r="E218" s="132" t="s">
        <v>287</v>
      </c>
      <c r="F218" s="131">
        <v>20</v>
      </c>
      <c r="G218" s="131">
        <v>0</v>
      </c>
      <c r="H218" s="131">
        <v>62800</v>
      </c>
      <c r="I218" s="131">
        <v>0</v>
      </c>
      <c r="J218" s="133">
        <v>43689</v>
      </c>
      <c r="K218" s="134" t="s">
        <v>687</v>
      </c>
    </row>
    <row r="219" spans="2:11" ht="15.6" x14ac:dyDescent="0.3">
      <c r="B219" s="126" t="s">
        <v>290</v>
      </c>
      <c r="C219" s="135" t="s">
        <v>284</v>
      </c>
      <c r="D219" s="135">
        <v>1100</v>
      </c>
      <c r="E219" s="127" t="s">
        <v>276</v>
      </c>
      <c r="F219" s="135">
        <v>28</v>
      </c>
      <c r="G219" s="135">
        <v>2</v>
      </c>
      <c r="H219" s="135">
        <v>30800</v>
      </c>
      <c r="I219" s="135">
        <v>2200</v>
      </c>
      <c r="J219" s="136">
        <v>43690</v>
      </c>
      <c r="K219" s="137" t="s">
        <v>666</v>
      </c>
    </row>
    <row r="220" spans="2:11" ht="15.6" x14ac:dyDescent="0.3">
      <c r="B220" s="130" t="s">
        <v>282</v>
      </c>
      <c r="C220" s="131" t="s">
        <v>275</v>
      </c>
      <c r="D220" s="131">
        <v>1380</v>
      </c>
      <c r="E220" s="132" t="s">
        <v>281</v>
      </c>
      <c r="F220" s="131">
        <v>28</v>
      </c>
      <c r="G220" s="131">
        <v>3</v>
      </c>
      <c r="H220" s="131">
        <v>38640</v>
      </c>
      <c r="I220" s="131">
        <v>4140</v>
      </c>
      <c r="J220" s="133">
        <v>43690</v>
      </c>
      <c r="K220" s="134" t="s">
        <v>687</v>
      </c>
    </row>
    <row r="221" spans="2:11" ht="15.6" x14ac:dyDescent="0.3">
      <c r="B221" s="126" t="s">
        <v>291</v>
      </c>
      <c r="C221" s="135" t="s">
        <v>280</v>
      </c>
      <c r="D221" s="135">
        <v>5490</v>
      </c>
      <c r="E221" s="127" t="s">
        <v>273</v>
      </c>
      <c r="F221" s="135">
        <v>23</v>
      </c>
      <c r="G221" s="135">
        <v>0</v>
      </c>
      <c r="H221" s="135">
        <v>126270</v>
      </c>
      <c r="I221" s="135">
        <v>0</v>
      </c>
      <c r="J221" s="136">
        <v>43692</v>
      </c>
      <c r="K221" s="137" t="s">
        <v>666</v>
      </c>
    </row>
    <row r="222" spans="2:11" ht="15.6" x14ac:dyDescent="0.3">
      <c r="B222" s="130" t="s">
        <v>268</v>
      </c>
      <c r="C222" s="131" t="s">
        <v>295</v>
      </c>
      <c r="D222" s="131">
        <v>4500</v>
      </c>
      <c r="E222" s="132" t="s">
        <v>281</v>
      </c>
      <c r="F222" s="131">
        <v>48</v>
      </c>
      <c r="G222" s="131">
        <v>2</v>
      </c>
      <c r="H222" s="131">
        <v>216000</v>
      </c>
      <c r="I222" s="131">
        <v>9000</v>
      </c>
      <c r="J222" s="133">
        <v>43692</v>
      </c>
      <c r="K222" s="134" t="s">
        <v>680</v>
      </c>
    </row>
    <row r="223" spans="2:11" ht="15.6" x14ac:dyDescent="0.3">
      <c r="B223" s="126" t="s">
        <v>288</v>
      </c>
      <c r="C223" s="135" t="s">
        <v>284</v>
      </c>
      <c r="D223" s="135">
        <v>3100</v>
      </c>
      <c r="E223" s="127" t="s">
        <v>281</v>
      </c>
      <c r="F223" s="135">
        <v>29</v>
      </c>
      <c r="G223" s="135">
        <v>1</v>
      </c>
      <c r="H223" s="135">
        <v>89900</v>
      </c>
      <c r="I223" s="135">
        <v>3100</v>
      </c>
      <c r="J223" s="136">
        <v>43696</v>
      </c>
      <c r="K223" s="137" t="s">
        <v>666</v>
      </c>
    </row>
    <row r="224" spans="2:11" ht="15.6" x14ac:dyDescent="0.3">
      <c r="B224" s="130" t="s">
        <v>271</v>
      </c>
      <c r="C224" s="131" t="s">
        <v>275</v>
      </c>
      <c r="D224" s="131">
        <v>4180</v>
      </c>
      <c r="E224" s="132" t="s">
        <v>273</v>
      </c>
      <c r="F224" s="131">
        <v>28</v>
      </c>
      <c r="G224" s="131">
        <v>1</v>
      </c>
      <c r="H224" s="131">
        <v>117040</v>
      </c>
      <c r="I224" s="131">
        <v>4180</v>
      </c>
      <c r="J224" s="133">
        <v>43696</v>
      </c>
      <c r="K224" s="134" t="s">
        <v>488</v>
      </c>
    </row>
    <row r="225" spans="2:11" ht="15.6" x14ac:dyDescent="0.3">
      <c r="B225" s="126" t="s">
        <v>294</v>
      </c>
      <c r="C225" s="135" t="s">
        <v>275</v>
      </c>
      <c r="D225" s="135">
        <v>1900</v>
      </c>
      <c r="E225" s="127" t="s">
        <v>276</v>
      </c>
      <c r="F225" s="135">
        <v>10</v>
      </c>
      <c r="G225" s="135">
        <v>1</v>
      </c>
      <c r="H225" s="135">
        <v>19000</v>
      </c>
      <c r="I225" s="135">
        <v>1900</v>
      </c>
      <c r="J225" s="136">
        <v>43697</v>
      </c>
      <c r="K225" s="137" t="s">
        <v>666</v>
      </c>
    </row>
    <row r="226" spans="2:11" ht="15.6" x14ac:dyDescent="0.3">
      <c r="B226" s="130" t="s">
        <v>282</v>
      </c>
      <c r="C226" s="131" t="s">
        <v>284</v>
      </c>
      <c r="D226" s="131">
        <v>4800</v>
      </c>
      <c r="E226" s="132" t="s">
        <v>287</v>
      </c>
      <c r="F226" s="131">
        <v>29</v>
      </c>
      <c r="G226" s="131">
        <v>0</v>
      </c>
      <c r="H226" s="131">
        <v>139200</v>
      </c>
      <c r="I226" s="131">
        <v>0</v>
      </c>
      <c r="J226" s="133">
        <v>43698</v>
      </c>
      <c r="K226" s="134" t="s">
        <v>687</v>
      </c>
    </row>
    <row r="227" spans="2:11" ht="15.6" x14ac:dyDescent="0.3">
      <c r="B227" s="126" t="s">
        <v>274</v>
      </c>
      <c r="C227" s="135" t="s">
        <v>289</v>
      </c>
      <c r="D227" s="135">
        <v>1200</v>
      </c>
      <c r="E227" s="127" t="s">
        <v>276</v>
      </c>
      <c r="F227" s="135">
        <v>32</v>
      </c>
      <c r="G227" s="135">
        <v>4</v>
      </c>
      <c r="H227" s="135">
        <v>38400</v>
      </c>
      <c r="I227" s="135">
        <v>4800</v>
      </c>
      <c r="J227" s="136">
        <v>43701</v>
      </c>
      <c r="K227" s="137" t="s">
        <v>488</v>
      </c>
    </row>
    <row r="228" spans="2:11" ht="15.6" x14ac:dyDescent="0.3">
      <c r="B228" s="130" t="s">
        <v>282</v>
      </c>
      <c r="C228" s="131" t="s">
        <v>285</v>
      </c>
      <c r="D228" s="131">
        <v>1900</v>
      </c>
      <c r="E228" s="132" t="s">
        <v>276</v>
      </c>
      <c r="F228" s="131">
        <v>30</v>
      </c>
      <c r="G228" s="131">
        <v>1</v>
      </c>
      <c r="H228" s="131">
        <v>57000</v>
      </c>
      <c r="I228" s="131">
        <v>1900</v>
      </c>
      <c r="J228" s="133">
        <v>43705</v>
      </c>
      <c r="K228" s="134" t="s">
        <v>687</v>
      </c>
    </row>
    <row r="229" spans="2:11" ht="15.6" x14ac:dyDescent="0.3">
      <c r="B229" s="126" t="s">
        <v>293</v>
      </c>
      <c r="C229" s="135" t="s">
        <v>289</v>
      </c>
      <c r="D229" s="135">
        <v>1990</v>
      </c>
      <c r="E229" s="127" t="s">
        <v>281</v>
      </c>
      <c r="F229" s="135">
        <v>10</v>
      </c>
      <c r="G229" s="135">
        <v>1</v>
      </c>
      <c r="H229" s="135">
        <v>19900</v>
      </c>
      <c r="I229" s="135">
        <v>1990</v>
      </c>
      <c r="J229" s="136">
        <v>43705</v>
      </c>
      <c r="K229" s="137" t="s">
        <v>497</v>
      </c>
    </row>
    <row r="230" spans="2:11" ht="15.6" x14ac:dyDescent="0.3">
      <c r="B230" s="130" t="s">
        <v>288</v>
      </c>
      <c r="C230" s="131" t="s">
        <v>277</v>
      </c>
      <c r="D230" s="131">
        <v>2970</v>
      </c>
      <c r="E230" s="132" t="s">
        <v>273</v>
      </c>
      <c r="F230" s="131">
        <v>41</v>
      </c>
      <c r="G230" s="131">
        <v>1</v>
      </c>
      <c r="H230" s="131">
        <v>121770</v>
      </c>
      <c r="I230" s="131">
        <v>2970</v>
      </c>
      <c r="J230" s="133">
        <v>43706</v>
      </c>
      <c r="K230" s="134" t="s">
        <v>666</v>
      </c>
    </row>
    <row r="231" spans="2:11" ht="15.6" x14ac:dyDescent="0.3">
      <c r="B231" s="126" t="s">
        <v>288</v>
      </c>
      <c r="C231" s="135" t="s">
        <v>289</v>
      </c>
      <c r="D231" s="135">
        <v>1200</v>
      </c>
      <c r="E231" s="127" t="s">
        <v>276</v>
      </c>
      <c r="F231" s="135">
        <v>13</v>
      </c>
      <c r="G231" s="135">
        <v>1</v>
      </c>
      <c r="H231" s="135">
        <v>15600</v>
      </c>
      <c r="I231" s="135">
        <v>1200</v>
      </c>
      <c r="J231" s="136">
        <v>43708</v>
      </c>
      <c r="K231" s="137" t="s">
        <v>666</v>
      </c>
    </row>
    <row r="232" spans="2:11" ht="15.6" x14ac:dyDescent="0.3">
      <c r="B232" s="130" t="s">
        <v>271</v>
      </c>
      <c r="C232" s="131" t="s">
        <v>285</v>
      </c>
      <c r="D232" s="131">
        <v>4100</v>
      </c>
      <c r="E232" s="132" t="s">
        <v>281</v>
      </c>
      <c r="F232" s="131">
        <v>45</v>
      </c>
      <c r="G232" s="131">
        <v>4</v>
      </c>
      <c r="H232" s="131">
        <v>184500</v>
      </c>
      <c r="I232" s="131">
        <v>16400</v>
      </c>
      <c r="J232" s="133">
        <v>43708</v>
      </c>
      <c r="K232" s="134" t="s">
        <v>488</v>
      </c>
    </row>
    <row r="233" spans="2:11" ht="15.6" x14ac:dyDescent="0.3">
      <c r="B233" s="126" t="s">
        <v>274</v>
      </c>
      <c r="C233" s="135" t="s">
        <v>280</v>
      </c>
      <c r="D233" s="135">
        <v>1650</v>
      </c>
      <c r="E233" s="127" t="s">
        <v>281</v>
      </c>
      <c r="F233" s="135">
        <v>22</v>
      </c>
      <c r="G233" s="135">
        <v>1</v>
      </c>
      <c r="H233" s="135">
        <v>36300</v>
      </c>
      <c r="I233" s="135">
        <v>1650</v>
      </c>
      <c r="J233" s="136">
        <v>43709</v>
      </c>
      <c r="K233" s="137" t="s">
        <v>488</v>
      </c>
    </row>
    <row r="234" spans="2:11" ht="15.6" x14ac:dyDescent="0.3">
      <c r="B234" s="130" t="s">
        <v>282</v>
      </c>
      <c r="C234" s="131" t="s">
        <v>289</v>
      </c>
      <c r="D234" s="131">
        <v>3150</v>
      </c>
      <c r="E234" s="132" t="s">
        <v>273</v>
      </c>
      <c r="F234" s="131">
        <v>38</v>
      </c>
      <c r="G234" s="131">
        <v>2</v>
      </c>
      <c r="H234" s="131">
        <v>119700</v>
      </c>
      <c r="I234" s="131">
        <v>6300</v>
      </c>
      <c r="J234" s="133">
        <v>43710</v>
      </c>
      <c r="K234" s="134" t="s">
        <v>687</v>
      </c>
    </row>
    <row r="235" spans="2:11" ht="15.6" x14ac:dyDescent="0.3">
      <c r="B235" s="126" t="s">
        <v>293</v>
      </c>
      <c r="C235" s="135" t="s">
        <v>285</v>
      </c>
      <c r="D235" s="135">
        <v>1700</v>
      </c>
      <c r="E235" s="127" t="s">
        <v>273</v>
      </c>
      <c r="F235" s="135">
        <v>50</v>
      </c>
      <c r="G235" s="135">
        <v>4</v>
      </c>
      <c r="H235" s="135">
        <v>85000</v>
      </c>
      <c r="I235" s="135">
        <v>6800</v>
      </c>
      <c r="J235" s="136">
        <v>43710</v>
      </c>
      <c r="K235" s="137" t="s">
        <v>497</v>
      </c>
    </row>
    <row r="236" spans="2:11" ht="15.6" x14ac:dyDescent="0.3">
      <c r="B236" s="130" t="s">
        <v>290</v>
      </c>
      <c r="C236" s="131" t="s">
        <v>275</v>
      </c>
      <c r="D236" s="131">
        <v>1150</v>
      </c>
      <c r="E236" s="132" t="s">
        <v>273</v>
      </c>
      <c r="F236" s="131">
        <v>48</v>
      </c>
      <c r="G236" s="131">
        <v>2</v>
      </c>
      <c r="H236" s="131">
        <v>55200</v>
      </c>
      <c r="I236" s="131">
        <v>2300</v>
      </c>
      <c r="J236" s="133">
        <v>43713</v>
      </c>
      <c r="K236" s="134" t="s">
        <v>666</v>
      </c>
    </row>
    <row r="237" spans="2:11" ht="15.6" x14ac:dyDescent="0.3">
      <c r="B237" s="126" t="s">
        <v>290</v>
      </c>
      <c r="C237" s="135" t="s">
        <v>275</v>
      </c>
      <c r="D237" s="135">
        <v>1150</v>
      </c>
      <c r="E237" s="127" t="s">
        <v>287</v>
      </c>
      <c r="F237" s="135">
        <v>27</v>
      </c>
      <c r="G237" s="135">
        <v>3</v>
      </c>
      <c r="H237" s="135">
        <v>31050</v>
      </c>
      <c r="I237" s="135">
        <v>3450</v>
      </c>
      <c r="J237" s="136">
        <v>43715</v>
      </c>
      <c r="K237" s="137" t="s">
        <v>666</v>
      </c>
    </row>
    <row r="238" spans="2:11" ht="15.6" x14ac:dyDescent="0.3">
      <c r="B238" s="130" t="s">
        <v>282</v>
      </c>
      <c r="C238" s="131" t="s">
        <v>283</v>
      </c>
      <c r="D238" s="131">
        <v>2400</v>
      </c>
      <c r="E238" s="132" t="s">
        <v>276</v>
      </c>
      <c r="F238" s="131">
        <v>48</v>
      </c>
      <c r="G238" s="131">
        <v>2</v>
      </c>
      <c r="H238" s="131">
        <v>115200</v>
      </c>
      <c r="I238" s="131">
        <v>4800</v>
      </c>
      <c r="J238" s="133">
        <v>43716</v>
      </c>
      <c r="K238" s="134" t="s">
        <v>687</v>
      </c>
    </row>
    <row r="239" spans="2:11" ht="15.6" x14ac:dyDescent="0.3">
      <c r="B239" s="126" t="s">
        <v>274</v>
      </c>
      <c r="C239" s="135" t="s">
        <v>289</v>
      </c>
      <c r="D239" s="135">
        <v>1150</v>
      </c>
      <c r="E239" s="127" t="s">
        <v>287</v>
      </c>
      <c r="F239" s="135">
        <v>14</v>
      </c>
      <c r="G239" s="135">
        <v>4</v>
      </c>
      <c r="H239" s="135">
        <v>16100</v>
      </c>
      <c r="I239" s="135">
        <v>4600</v>
      </c>
      <c r="J239" s="136">
        <v>43717</v>
      </c>
      <c r="K239" s="137" t="s">
        <v>488</v>
      </c>
    </row>
    <row r="240" spans="2:11" ht="15.6" x14ac:dyDescent="0.3">
      <c r="B240" s="130" t="s">
        <v>271</v>
      </c>
      <c r="C240" s="131" t="s">
        <v>275</v>
      </c>
      <c r="D240" s="131">
        <v>4200</v>
      </c>
      <c r="E240" s="132" t="s">
        <v>276</v>
      </c>
      <c r="F240" s="131">
        <v>26</v>
      </c>
      <c r="G240" s="131">
        <v>1</v>
      </c>
      <c r="H240" s="131">
        <v>109200</v>
      </c>
      <c r="I240" s="131">
        <v>4200</v>
      </c>
      <c r="J240" s="133">
        <v>43718</v>
      </c>
      <c r="K240" s="134" t="s">
        <v>488</v>
      </c>
    </row>
    <row r="241" spans="2:11" ht="15.6" x14ac:dyDescent="0.3">
      <c r="B241" s="126" t="s">
        <v>293</v>
      </c>
      <c r="C241" s="135" t="s">
        <v>289</v>
      </c>
      <c r="D241" s="135">
        <v>2100</v>
      </c>
      <c r="E241" s="127" t="s">
        <v>276</v>
      </c>
      <c r="F241" s="135">
        <v>37</v>
      </c>
      <c r="G241" s="135">
        <v>0</v>
      </c>
      <c r="H241" s="135">
        <v>77700</v>
      </c>
      <c r="I241" s="135">
        <v>0</v>
      </c>
      <c r="J241" s="136">
        <v>43718</v>
      </c>
      <c r="K241" s="137" t="s">
        <v>497</v>
      </c>
    </row>
    <row r="242" spans="2:11" ht="15.6" x14ac:dyDescent="0.3">
      <c r="B242" s="130" t="s">
        <v>290</v>
      </c>
      <c r="C242" s="131" t="s">
        <v>285</v>
      </c>
      <c r="D242" s="131">
        <v>1200</v>
      </c>
      <c r="E242" s="132" t="s">
        <v>273</v>
      </c>
      <c r="F242" s="131">
        <v>39</v>
      </c>
      <c r="G242" s="131">
        <v>4</v>
      </c>
      <c r="H242" s="131">
        <v>46800</v>
      </c>
      <c r="I242" s="131">
        <v>4800</v>
      </c>
      <c r="J242" s="133">
        <v>43720</v>
      </c>
      <c r="K242" s="134" t="s">
        <v>666</v>
      </c>
    </row>
    <row r="243" spans="2:11" ht="15.6" x14ac:dyDescent="0.3">
      <c r="B243" s="126" t="s">
        <v>271</v>
      </c>
      <c r="C243" s="135" t="s">
        <v>280</v>
      </c>
      <c r="D243" s="135">
        <v>2850</v>
      </c>
      <c r="E243" s="127" t="s">
        <v>281</v>
      </c>
      <c r="F243" s="135">
        <v>25</v>
      </c>
      <c r="G243" s="135">
        <v>3</v>
      </c>
      <c r="H243" s="135">
        <v>71250</v>
      </c>
      <c r="I243" s="135">
        <v>8550</v>
      </c>
      <c r="J243" s="136">
        <v>43720</v>
      </c>
      <c r="K243" s="137" t="s">
        <v>488</v>
      </c>
    </row>
    <row r="244" spans="2:11" ht="15.6" x14ac:dyDescent="0.3">
      <c r="B244" s="130" t="s">
        <v>271</v>
      </c>
      <c r="C244" s="131" t="s">
        <v>283</v>
      </c>
      <c r="D244" s="131">
        <v>4350</v>
      </c>
      <c r="E244" s="132" t="s">
        <v>273</v>
      </c>
      <c r="F244" s="131">
        <v>41</v>
      </c>
      <c r="G244" s="131">
        <v>2</v>
      </c>
      <c r="H244" s="131">
        <v>178350</v>
      </c>
      <c r="I244" s="131">
        <v>8700</v>
      </c>
      <c r="J244" s="133">
        <v>43723</v>
      </c>
      <c r="K244" s="134" t="s">
        <v>488</v>
      </c>
    </row>
    <row r="245" spans="2:11" ht="15.6" x14ac:dyDescent="0.3">
      <c r="B245" s="126" t="s">
        <v>268</v>
      </c>
      <c r="C245" s="135" t="s">
        <v>269</v>
      </c>
      <c r="D245" s="135">
        <v>2850</v>
      </c>
      <c r="E245" s="127" t="s">
        <v>286</v>
      </c>
      <c r="F245" s="135">
        <v>11</v>
      </c>
      <c r="G245" s="135">
        <v>0</v>
      </c>
      <c r="H245" s="135">
        <v>31350</v>
      </c>
      <c r="I245" s="135">
        <v>0</v>
      </c>
      <c r="J245" s="136">
        <v>43724</v>
      </c>
      <c r="K245" s="137" t="s">
        <v>680</v>
      </c>
    </row>
    <row r="246" spans="2:11" ht="15.6" x14ac:dyDescent="0.3">
      <c r="B246" s="130" t="s">
        <v>282</v>
      </c>
      <c r="C246" s="131" t="s">
        <v>289</v>
      </c>
      <c r="D246" s="131">
        <v>3150</v>
      </c>
      <c r="E246" s="132" t="s">
        <v>287</v>
      </c>
      <c r="F246" s="131">
        <v>29</v>
      </c>
      <c r="G246" s="131">
        <v>3</v>
      </c>
      <c r="H246" s="131">
        <v>91350</v>
      </c>
      <c r="I246" s="131">
        <v>9450</v>
      </c>
      <c r="J246" s="133">
        <v>43726</v>
      </c>
      <c r="K246" s="134" t="s">
        <v>687</v>
      </c>
    </row>
    <row r="247" spans="2:11" ht="15.6" x14ac:dyDescent="0.3">
      <c r="B247" s="126" t="s">
        <v>271</v>
      </c>
      <c r="C247" s="135" t="s">
        <v>283</v>
      </c>
      <c r="D247" s="135">
        <v>4400</v>
      </c>
      <c r="E247" s="127" t="s">
        <v>276</v>
      </c>
      <c r="F247" s="135">
        <v>39</v>
      </c>
      <c r="G247" s="135">
        <v>1</v>
      </c>
      <c r="H247" s="135">
        <v>171600</v>
      </c>
      <c r="I247" s="135">
        <v>4400</v>
      </c>
      <c r="J247" s="136">
        <v>43727</v>
      </c>
      <c r="K247" s="137" t="s">
        <v>488</v>
      </c>
    </row>
    <row r="248" spans="2:11" ht="15.6" x14ac:dyDescent="0.3">
      <c r="B248" s="130" t="s">
        <v>271</v>
      </c>
      <c r="C248" s="131" t="s">
        <v>284</v>
      </c>
      <c r="D248" s="131">
        <v>2870</v>
      </c>
      <c r="E248" s="132" t="s">
        <v>281</v>
      </c>
      <c r="F248" s="131">
        <v>28</v>
      </c>
      <c r="G248" s="131">
        <v>1</v>
      </c>
      <c r="H248" s="131">
        <v>80360</v>
      </c>
      <c r="I248" s="131">
        <v>2870</v>
      </c>
      <c r="J248" s="133">
        <v>43728</v>
      </c>
      <c r="K248" s="134" t="s">
        <v>488</v>
      </c>
    </row>
    <row r="249" spans="2:11" ht="15.6" x14ac:dyDescent="0.3">
      <c r="B249" s="126" t="s">
        <v>291</v>
      </c>
      <c r="C249" s="135" t="s">
        <v>283</v>
      </c>
      <c r="D249" s="135">
        <v>4590</v>
      </c>
      <c r="E249" s="127" t="s">
        <v>281</v>
      </c>
      <c r="F249" s="135">
        <v>36</v>
      </c>
      <c r="G249" s="135">
        <v>2</v>
      </c>
      <c r="H249" s="135">
        <v>165240</v>
      </c>
      <c r="I249" s="135">
        <v>9180</v>
      </c>
      <c r="J249" s="136">
        <v>43729</v>
      </c>
      <c r="K249" s="137" t="s">
        <v>666</v>
      </c>
    </row>
    <row r="250" spans="2:11" ht="15.6" x14ac:dyDescent="0.3">
      <c r="B250" s="130" t="s">
        <v>294</v>
      </c>
      <c r="C250" s="131" t="s">
        <v>275</v>
      </c>
      <c r="D250" s="131">
        <v>1800</v>
      </c>
      <c r="E250" s="132" t="s">
        <v>281</v>
      </c>
      <c r="F250" s="131">
        <v>8</v>
      </c>
      <c r="G250" s="131">
        <v>1</v>
      </c>
      <c r="H250" s="131">
        <v>14400</v>
      </c>
      <c r="I250" s="131">
        <v>1800</v>
      </c>
      <c r="J250" s="133">
        <v>43730</v>
      </c>
      <c r="K250" s="134" t="s">
        <v>666</v>
      </c>
    </row>
    <row r="251" spans="2:11" ht="15.6" x14ac:dyDescent="0.3">
      <c r="B251" s="126" t="s">
        <v>288</v>
      </c>
      <c r="C251" s="135" t="s">
        <v>284</v>
      </c>
      <c r="D251" s="135">
        <v>3390</v>
      </c>
      <c r="E251" s="127" t="s">
        <v>287</v>
      </c>
      <c r="F251" s="135">
        <v>19</v>
      </c>
      <c r="G251" s="135">
        <v>3</v>
      </c>
      <c r="H251" s="135">
        <v>64410</v>
      </c>
      <c r="I251" s="135">
        <v>10170</v>
      </c>
      <c r="J251" s="136">
        <v>43730</v>
      </c>
      <c r="K251" s="137" t="s">
        <v>666</v>
      </c>
    </row>
    <row r="252" spans="2:11" ht="15.6" x14ac:dyDescent="0.3">
      <c r="B252" s="130" t="s">
        <v>271</v>
      </c>
      <c r="C252" s="131" t="s">
        <v>280</v>
      </c>
      <c r="D252" s="131">
        <v>2850</v>
      </c>
      <c r="E252" s="132" t="s">
        <v>287</v>
      </c>
      <c r="F252" s="131">
        <v>36</v>
      </c>
      <c r="G252" s="131">
        <v>2</v>
      </c>
      <c r="H252" s="131">
        <v>102600</v>
      </c>
      <c r="I252" s="131">
        <v>5700</v>
      </c>
      <c r="J252" s="133">
        <v>43730</v>
      </c>
      <c r="K252" s="134" t="s">
        <v>488</v>
      </c>
    </row>
    <row r="253" spans="2:11" ht="15.6" x14ac:dyDescent="0.3">
      <c r="B253" s="126" t="s">
        <v>278</v>
      </c>
      <c r="C253" s="135" t="s">
        <v>289</v>
      </c>
      <c r="D253" s="135">
        <v>2620</v>
      </c>
      <c r="E253" s="127" t="s">
        <v>270</v>
      </c>
      <c r="F253" s="135">
        <v>20</v>
      </c>
      <c r="G253" s="135">
        <v>2</v>
      </c>
      <c r="H253" s="135">
        <v>52400</v>
      </c>
      <c r="I253" s="135">
        <v>5240</v>
      </c>
      <c r="J253" s="136">
        <v>43734</v>
      </c>
      <c r="K253" s="137" t="s">
        <v>680</v>
      </c>
    </row>
    <row r="254" spans="2:11" ht="15.6" x14ac:dyDescent="0.3">
      <c r="B254" s="130" t="s">
        <v>291</v>
      </c>
      <c r="C254" s="131" t="s">
        <v>289</v>
      </c>
      <c r="D254" s="131">
        <v>4550</v>
      </c>
      <c r="E254" s="132" t="s">
        <v>276</v>
      </c>
      <c r="F254" s="131">
        <v>28</v>
      </c>
      <c r="G254" s="131">
        <v>0</v>
      </c>
      <c r="H254" s="131">
        <v>127400</v>
      </c>
      <c r="I254" s="131">
        <v>0</v>
      </c>
      <c r="J254" s="133">
        <v>43736</v>
      </c>
      <c r="K254" s="134" t="s">
        <v>666</v>
      </c>
    </row>
    <row r="255" spans="2:11" ht="15.6" x14ac:dyDescent="0.3">
      <c r="B255" s="126" t="s">
        <v>268</v>
      </c>
      <c r="C255" s="135" t="s">
        <v>292</v>
      </c>
      <c r="D255" s="135">
        <v>3750</v>
      </c>
      <c r="E255" s="127" t="s">
        <v>287</v>
      </c>
      <c r="F255" s="135">
        <v>47</v>
      </c>
      <c r="G255" s="135">
        <v>1</v>
      </c>
      <c r="H255" s="135">
        <v>176250</v>
      </c>
      <c r="I255" s="135">
        <v>3750</v>
      </c>
      <c r="J255" s="136">
        <v>43737</v>
      </c>
      <c r="K255" s="137" t="s">
        <v>680</v>
      </c>
    </row>
    <row r="256" spans="2:11" ht="15.6" x14ac:dyDescent="0.3">
      <c r="B256" s="130" t="s">
        <v>279</v>
      </c>
      <c r="C256" s="131" t="s">
        <v>275</v>
      </c>
      <c r="D256" s="131">
        <v>900</v>
      </c>
      <c r="E256" s="132" t="s">
        <v>286</v>
      </c>
      <c r="F256" s="131">
        <v>18</v>
      </c>
      <c r="G256" s="131">
        <v>3</v>
      </c>
      <c r="H256" s="131">
        <v>16200</v>
      </c>
      <c r="I256" s="131">
        <v>2700</v>
      </c>
      <c r="J256" s="133">
        <v>43737</v>
      </c>
      <c r="K256" s="134" t="s">
        <v>687</v>
      </c>
    </row>
    <row r="257" spans="2:11" ht="15.6" x14ac:dyDescent="0.3">
      <c r="B257" s="126" t="s">
        <v>288</v>
      </c>
      <c r="C257" s="135" t="s">
        <v>280</v>
      </c>
      <c r="D257" s="135">
        <v>1500</v>
      </c>
      <c r="E257" s="127" t="s">
        <v>281</v>
      </c>
      <c r="F257" s="135">
        <v>38</v>
      </c>
      <c r="G257" s="135">
        <v>1</v>
      </c>
      <c r="H257" s="135">
        <v>57000</v>
      </c>
      <c r="I257" s="135">
        <v>1500</v>
      </c>
      <c r="J257" s="136">
        <v>43739</v>
      </c>
      <c r="K257" s="137" t="s">
        <v>666</v>
      </c>
    </row>
    <row r="258" spans="2:11" ht="15.6" x14ac:dyDescent="0.3">
      <c r="B258" s="130" t="s">
        <v>288</v>
      </c>
      <c r="C258" s="131" t="s">
        <v>280</v>
      </c>
      <c r="D258" s="131">
        <v>1600</v>
      </c>
      <c r="E258" s="132" t="s">
        <v>286</v>
      </c>
      <c r="F258" s="131">
        <v>14</v>
      </c>
      <c r="G258" s="131">
        <v>0</v>
      </c>
      <c r="H258" s="131">
        <v>22400</v>
      </c>
      <c r="I258" s="131">
        <v>0</v>
      </c>
      <c r="J258" s="133">
        <v>43739</v>
      </c>
      <c r="K258" s="134" t="s">
        <v>666</v>
      </c>
    </row>
    <row r="259" spans="2:11" ht="15.6" x14ac:dyDescent="0.3">
      <c r="B259" s="126" t="s">
        <v>279</v>
      </c>
      <c r="C259" s="135" t="s">
        <v>280</v>
      </c>
      <c r="D259" s="135">
        <v>1100</v>
      </c>
      <c r="E259" s="127" t="s">
        <v>270</v>
      </c>
      <c r="F259" s="135">
        <v>40</v>
      </c>
      <c r="G259" s="135">
        <v>3</v>
      </c>
      <c r="H259" s="135">
        <v>44000</v>
      </c>
      <c r="I259" s="135">
        <v>3300</v>
      </c>
      <c r="J259" s="136">
        <v>43742</v>
      </c>
      <c r="K259" s="137" t="s">
        <v>687</v>
      </c>
    </row>
    <row r="260" spans="2:11" ht="15.6" x14ac:dyDescent="0.3">
      <c r="B260" s="130" t="s">
        <v>282</v>
      </c>
      <c r="C260" s="131" t="s">
        <v>277</v>
      </c>
      <c r="D260" s="131">
        <v>3100</v>
      </c>
      <c r="E260" s="132" t="s">
        <v>273</v>
      </c>
      <c r="F260" s="131">
        <v>27</v>
      </c>
      <c r="G260" s="131">
        <v>1</v>
      </c>
      <c r="H260" s="131">
        <v>83700</v>
      </c>
      <c r="I260" s="131">
        <v>3100</v>
      </c>
      <c r="J260" s="133">
        <v>43744</v>
      </c>
      <c r="K260" s="134" t="s">
        <v>687</v>
      </c>
    </row>
    <row r="261" spans="2:11" ht="15.6" x14ac:dyDescent="0.3">
      <c r="B261" s="126" t="s">
        <v>290</v>
      </c>
      <c r="C261" s="135" t="s">
        <v>275</v>
      </c>
      <c r="D261" s="135">
        <v>1200</v>
      </c>
      <c r="E261" s="127" t="s">
        <v>286</v>
      </c>
      <c r="F261" s="135">
        <v>20</v>
      </c>
      <c r="G261" s="135">
        <v>4</v>
      </c>
      <c r="H261" s="135">
        <v>24000</v>
      </c>
      <c r="I261" s="135">
        <v>4800</v>
      </c>
      <c r="J261" s="136">
        <v>43745</v>
      </c>
      <c r="K261" s="137" t="s">
        <v>666</v>
      </c>
    </row>
    <row r="262" spans="2:11" ht="15.6" x14ac:dyDescent="0.3">
      <c r="B262" s="130" t="s">
        <v>274</v>
      </c>
      <c r="C262" s="131" t="s">
        <v>277</v>
      </c>
      <c r="D262" s="131">
        <v>2500</v>
      </c>
      <c r="E262" s="132" t="s">
        <v>281</v>
      </c>
      <c r="F262" s="131">
        <v>18</v>
      </c>
      <c r="G262" s="131">
        <v>1</v>
      </c>
      <c r="H262" s="131">
        <v>45000</v>
      </c>
      <c r="I262" s="131">
        <v>2500</v>
      </c>
      <c r="J262" s="133">
        <v>43745</v>
      </c>
      <c r="K262" s="134" t="s">
        <v>488</v>
      </c>
    </row>
    <row r="263" spans="2:11" ht="15.6" x14ac:dyDescent="0.3">
      <c r="B263" s="126" t="s">
        <v>278</v>
      </c>
      <c r="C263" s="135" t="s">
        <v>275</v>
      </c>
      <c r="D263" s="135">
        <v>3900</v>
      </c>
      <c r="E263" s="127" t="s">
        <v>273</v>
      </c>
      <c r="F263" s="135">
        <v>29</v>
      </c>
      <c r="G263" s="135">
        <v>2</v>
      </c>
      <c r="H263" s="135">
        <v>113100</v>
      </c>
      <c r="I263" s="135">
        <v>7800</v>
      </c>
      <c r="J263" s="136">
        <v>43746</v>
      </c>
      <c r="K263" s="137" t="s">
        <v>680</v>
      </c>
    </row>
    <row r="264" spans="2:11" ht="15.6" x14ac:dyDescent="0.3">
      <c r="B264" s="130" t="s">
        <v>294</v>
      </c>
      <c r="C264" s="131" t="s">
        <v>275</v>
      </c>
      <c r="D264" s="131">
        <v>1890</v>
      </c>
      <c r="E264" s="132" t="s">
        <v>273</v>
      </c>
      <c r="F264" s="131">
        <v>16</v>
      </c>
      <c r="G264" s="131">
        <v>0</v>
      </c>
      <c r="H264" s="131">
        <v>30240</v>
      </c>
      <c r="I264" s="131">
        <v>0</v>
      </c>
      <c r="J264" s="133">
        <v>43748</v>
      </c>
      <c r="K264" s="134" t="s">
        <v>666</v>
      </c>
    </row>
    <row r="265" spans="2:11" ht="15.6" x14ac:dyDescent="0.3">
      <c r="B265" s="126" t="s">
        <v>278</v>
      </c>
      <c r="C265" s="135" t="s">
        <v>280</v>
      </c>
      <c r="D265" s="135">
        <v>2580</v>
      </c>
      <c r="E265" s="127" t="s">
        <v>281</v>
      </c>
      <c r="F265" s="135">
        <v>45</v>
      </c>
      <c r="G265" s="135">
        <v>0</v>
      </c>
      <c r="H265" s="135">
        <v>116100</v>
      </c>
      <c r="I265" s="135">
        <v>0</v>
      </c>
      <c r="J265" s="136">
        <v>43748</v>
      </c>
      <c r="K265" s="137" t="s">
        <v>680</v>
      </c>
    </row>
    <row r="266" spans="2:11" ht="15.6" x14ac:dyDescent="0.3">
      <c r="B266" s="130" t="s">
        <v>282</v>
      </c>
      <c r="C266" s="131" t="s">
        <v>280</v>
      </c>
      <c r="D266" s="131">
        <v>2500</v>
      </c>
      <c r="E266" s="132" t="s">
        <v>281</v>
      </c>
      <c r="F266" s="131">
        <v>19</v>
      </c>
      <c r="G266" s="131">
        <v>2</v>
      </c>
      <c r="H266" s="131">
        <v>47500</v>
      </c>
      <c r="I266" s="131">
        <v>5000</v>
      </c>
      <c r="J266" s="133">
        <v>43748</v>
      </c>
      <c r="K266" s="134" t="s">
        <v>687</v>
      </c>
    </row>
    <row r="267" spans="2:11" ht="15.6" x14ac:dyDescent="0.3">
      <c r="B267" s="126" t="s">
        <v>290</v>
      </c>
      <c r="C267" s="135" t="s">
        <v>275</v>
      </c>
      <c r="D267" s="135">
        <v>1150</v>
      </c>
      <c r="E267" s="127" t="s">
        <v>281</v>
      </c>
      <c r="F267" s="135">
        <v>46</v>
      </c>
      <c r="G267" s="135">
        <v>4</v>
      </c>
      <c r="H267" s="135">
        <v>52900</v>
      </c>
      <c r="I267" s="135">
        <v>4600</v>
      </c>
      <c r="J267" s="136">
        <v>43749</v>
      </c>
      <c r="K267" s="137" t="s">
        <v>666</v>
      </c>
    </row>
    <row r="268" spans="2:11" ht="15.6" x14ac:dyDescent="0.3">
      <c r="B268" s="130" t="s">
        <v>274</v>
      </c>
      <c r="C268" s="131" t="s">
        <v>285</v>
      </c>
      <c r="D268" s="131">
        <v>2000</v>
      </c>
      <c r="E268" s="132" t="s">
        <v>286</v>
      </c>
      <c r="F268" s="131">
        <v>26</v>
      </c>
      <c r="G268" s="131">
        <v>4</v>
      </c>
      <c r="H268" s="131">
        <v>52000</v>
      </c>
      <c r="I268" s="131">
        <v>8000</v>
      </c>
      <c r="J268" s="133">
        <v>43749</v>
      </c>
      <c r="K268" s="134" t="s">
        <v>488</v>
      </c>
    </row>
    <row r="269" spans="2:11" ht="15.6" x14ac:dyDescent="0.3">
      <c r="B269" s="126" t="s">
        <v>290</v>
      </c>
      <c r="C269" s="135" t="s">
        <v>280</v>
      </c>
      <c r="D269" s="135">
        <v>780</v>
      </c>
      <c r="E269" s="127" t="s">
        <v>287</v>
      </c>
      <c r="F269" s="135">
        <v>31</v>
      </c>
      <c r="G269" s="135">
        <v>4</v>
      </c>
      <c r="H269" s="135">
        <v>24180</v>
      </c>
      <c r="I269" s="135">
        <v>3120</v>
      </c>
      <c r="J269" s="136">
        <v>43751</v>
      </c>
      <c r="K269" s="137" t="s">
        <v>666</v>
      </c>
    </row>
    <row r="270" spans="2:11" ht="15.6" x14ac:dyDescent="0.3">
      <c r="B270" s="130" t="s">
        <v>282</v>
      </c>
      <c r="C270" s="131" t="s">
        <v>280</v>
      </c>
      <c r="D270" s="131">
        <v>2500</v>
      </c>
      <c r="E270" s="132" t="s">
        <v>276</v>
      </c>
      <c r="F270" s="131">
        <v>47</v>
      </c>
      <c r="G270" s="131">
        <v>4</v>
      </c>
      <c r="H270" s="131">
        <v>117500</v>
      </c>
      <c r="I270" s="131">
        <v>10000</v>
      </c>
      <c r="J270" s="133">
        <v>43751</v>
      </c>
      <c r="K270" s="134" t="s">
        <v>687</v>
      </c>
    </row>
    <row r="271" spans="2:11" ht="15.6" x14ac:dyDescent="0.3">
      <c r="B271" s="126" t="s">
        <v>279</v>
      </c>
      <c r="C271" s="135" t="s">
        <v>284</v>
      </c>
      <c r="D271" s="135">
        <v>1950</v>
      </c>
      <c r="E271" s="127" t="s">
        <v>281</v>
      </c>
      <c r="F271" s="135">
        <v>24</v>
      </c>
      <c r="G271" s="135">
        <v>0</v>
      </c>
      <c r="H271" s="135">
        <v>46800</v>
      </c>
      <c r="I271" s="135">
        <v>0</v>
      </c>
      <c r="J271" s="136">
        <v>43754</v>
      </c>
      <c r="K271" s="137" t="s">
        <v>687</v>
      </c>
    </row>
    <row r="272" spans="2:11" ht="15.6" x14ac:dyDescent="0.3">
      <c r="B272" s="130" t="s">
        <v>290</v>
      </c>
      <c r="C272" s="131" t="s">
        <v>275</v>
      </c>
      <c r="D272" s="131">
        <v>1150</v>
      </c>
      <c r="E272" s="132" t="s">
        <v>270</v>
      </c>
      <c r="F272" s="131">
        <v>31</v>
      </c>
      <c r="G272" s="131">
        <v>1</v>
      </c>
      <c r="H272" s="131">
        <v>35650</v>
      </c>
      <c r="I272" s="131">
        <v>1150</v>
      </c>
      <c r="J272" s="133">
        <v>43758</v>
      </c>
      <c r="K272" s="134" t="s">
        <v>666</v>
      </c>
    </row>
    <row r="273" spans="2:11" ht="15.6" x14ac:dyDescent="0.3">
      <c r="B273" s="126" t="s">
        <v>282</v>
      </c>
      <c r="C273" s="135" t="s">
        <v>277</v>
      </c>
      <c r="D273" s="135">
        <v>3300</v>
      </c>
      <c r="E273" s="127" t="s">
        <v>276</v>
      </c>
      <c r="F273" s="135">
        <v>19</v>
      </c>
      <c r="G273" s="135">
        <v>0</v>
      </c>
      <c r="H273" s="135">
        <v>62700</v>
      </c>
      <c r="I273" s="135">
        <v>0</v>
      </c>
      <c r="J273" s="136">
        <v>43759</v>
      </c>
      <c r="K273" s="137" t="s">
        <v>687</v>
      </c>
    </row>
    <row r="274" spans="2:11" ht="15.6" x14ac:dyDescent="0.3">
      <c r="B274" s="130" t="s">
        <v>279</v>
      </c>
      <c r="C274" s="131" t="s">
        <v>289</v>
      </c>
      <c r="D274" s="131">
        <v>1750</v>
      </c>
      <c r="E274" s="132" t="s">
        <v>270</v>
      </c>
      <c r="F274" s="131">
        <v>40</v>
      </c>
      <c r="G274" s="131">
        <v>0</v>
      </c>
      <c r="H274" s="131">
        <v>70000</v>
      </c>
      <c r="I274" s="131">
        <v>0</v>
      </c>
      <c r="J274" s="133">
        <v>43759</v>
      </c>
      <c r="K274" s="134" t="s">
        <v>687</v>
      </c>
    </row>
    <row r="275" spans="2:11" ht="15.6" x14ac:dyDescent="0.3">
      <c r="B275" s="126" t="s">
        <v>271</v>
      </c>
      <c r="C275" s="135" t="s">
        <v>272</v>
      </c>
      <c r="D275" s="135">
        <v>3880</v>
      </c>
      <c r="E275" s="127" t="s">
        <v>281</v>
      </c>
      <c r="F275" s="135">
        <v>12</v>
      </c>
      <c r="G275" s="135">
        <v>4</v>
      </c>
      <c r="H275" s="135">
        <v>46560</v>
      </c>
      <c r="I275" s="135">
        <v>15520</v>
      </c>
      <c r="J275" s="136">
        <v>43764</v>
      </c>
      <c r="K275" s="137" t="s">
        <v>488</v>
      </c>
    </row>
    <row r="276" spans="2:11" ht="15.6" x14ac:dyDescent="0.3">
      <c r="B276" s="130" t="s">
        <v>271</v>
      </c>
      <c r="C276" s="131" t="s">
        <v>275</v>
      </c>
      <c r="D276" s="131">
        <v>4300</v>
      </c>
      <c r="E276" s="132" t="s">
        <v>287</v>
      </c>
      <c r="F276" s="131">
        <v>36</v>
      </c>
      <c r="G276" s="131">
        <v>3</v>
      </c>
      <c r="H276" s="131">
        <v>154800</v>
      </c>
      <c r="I276" s="131">
        <v>12900</v>
      </c>
      <c r="J276" s="133">
        <v>43766</v>
      </c>
      <c r="K276" s="134" t="s">
        <v>488</v>
      </c>
    </row>
    <row r="277" spans="2:11" ht="15.6" x14ac:dyDescent="0.3">
      <c r="B277" s="126" t="s">
        <v>278</v>
      </c>
      <c r="C277" s="135" t="s">
        <v>280</v>
      </c>
      <c r="D277" s="135">
        <v>2600</v>
      </c>
      <c r="E277" s="127" t="s">
        <v>276</v>
      </c>
      <c r="F277" s="135">
        <v>10</v>
      </c>
      <c r="G277" s="135">
        <v>2</v>
      </c>
      <c r="H277" s="135">
        <v>26000</v>
      </c>
      <c r="I277" s="135">
        <v>5200</v>
      </c>
      <c r="J277" s="136">
        <v>43766</v>
      </c>
      <c r="K277" s="137" t="s">
        <v>680</v>
      </c>
    </row>
    <row r="278" spans="2:11" ht="15.6" x14ac:dyDescent="0.3">
      <c r="B278" s="130" t="s">
        <v>274</v>
      </c>
      <c r="C278" s="131" t="s">
        <v>283</v>
      </c>
      <c r="D278" s="131">
        <v>1680</v>
      </c>
      <c r="E278" s="132" t="s">
        <v>276</v>
      </c>
      <c r="F278" s="131">
        <v>31</v>
      </c>
      <c r="G278" s="131">
        <v>3</v>
      </c>
      <c r="H278" s="131">
        <v>52080</v>
      </c>
      <c r="I278" s="131">
        <v>5040</v>
      </c>
      <c r="J278" s="133">
        <v>43767</v>
      </c>
      <c r="K278" s="134" t="s">
        <v>488</v>
      </c>
    </row>
    <row r="279" spans="2:11" ht="15.6" x14ac:dyDescent="0.3">
      <c r="B279" s="126" t="s">
        <v>268</v>
      </c>
      <c r="C279" s="135" t="s">
        <v>272</v>
      </c>
      <c r="D279" s="135">
        <v>4700</v>
      </c>
      <c r="E279" s="127" t="s">
        <v>287</v>
      </c>
      <c r="F279" s="135">
        <v>34</v>
      </c>
      <c r="G279" s="135">
        <v>1</v>
      </c>
      <c r="H279" s="135">
        <v>159800</v>
      </c>
      <c r="I279" s="135">
        <v>4700</v>
      </c>
      <c r="J279" s="136">
        <v>43767</v>
      </c>
      <c r="K279" s="137" t="s">
        <v>680</v>
      </c>
    </row>
    <row r="280" spans="2:11" ht="15.6" x14ac:dyDescent="0.3">
      <c r="B280" s="130" t="s">
        <v>268</v>
      </c>
      <c r="C280" s="131" t="s">
        <v>272</v>
      </c>
      <c r="D280" s="131">
        <v>4700</v>
      </c>
      <c r="E280" s="132" t="s">
        <v>270</v>
      </c>
      <c r="F280" s="131">
        <v>49</v>
      </c>
      <c r="G280" s="131">
        <v>0</v>
      </c>
      <c r="H280" s="131">
        <v>230300</v>
      </c>
      <c r="I280" s="131">
        <v>0</v>
      </c>
      <c r="J280" s="133">
        <v>43772</v>
      </c>
      <c r="K280" s="134" t="s">
        <v>680</v>
      </c>
    </row>
    <row r="281" spans="2:11" ht="15.6" x14ac:dyDescent="0.3">
      <c r="B281" s="126" t="s">
        <v>268</v>
      </c>
      <c r="C281" s="135" t="s">
        <v>295</v>
      </c>
      <c r="D281" s="135">
        <v>4580</v>
      </c>
      <c r="E281" s="127" t="s">
        <v>286</v>
      </c>
      <c r="F281" s="135">
        <v>44</v>
      </c>
      <c r="G281" s="135">
        <v>3</v>
      </c>
      <c r="H281" s="135">
        <v>201520</v>
      </c>
      <c r="I281" s="135">
        <v>13740</v>
      </c>
      <c r="J281" s="136">
        <v>43772</v>
      </c>
      <c r="K281" s="137" t="s">
        <v>680</v>
      </c>
    </row>
    <row r="282" spans="2:11" ht="15.6" x14ac:dyDescent="0.3">
      <c r="B282" s="130" t="s">
        <v>293</v>
      </c>
      <c r="C282" s="131" t="s">
        <v>277</v>
      </c>
      <c r="D282" s="131">
        <v>1250</v>
      </c>
      <c r="E282" s="132" t="s">
        <v>270</v>
      </c>
      <c r="F282" s="131">
        <v>47</v>
      </c>
      <c r="G282" s="131">
        <v>0</v>
      </c>
      <c r="H282" s="131">
        <v>58750</v>
      </c>
      <c r="I282" s="131">
        <v>0</v>
      </c>
      <c r="J282" s="133">
        <v>43773</v>
      </c>
      <c r="K282" s="134" t="s">
        <v>497</v>
      </c>
    </row>
    <row r="283" spans="2:11" ht="15.6" x14ac:dyDescent="0.3">
      <c r="B283" s="126" t="s">
        <v>271</v>
      </c>
      <c r="C283" s="135" t="s">
        <v>285</v>
      </c>
      <c r="D283" s="135">
        <v>4100</v>
      </c>
      <c r="E283" s="127" t="s">
        <v>286</v>
      </c>
      <c r="F283" s="135">
        <v>17</v>
      </c>
      <c r="G283" s="135">
        <v>2</v>
      </c>
      <c r="H283" s="135">
        <v>69700</v>
      </c>
      <c r="I283" s="135">
        <v>8200</v>
      </c>
      <c r="J283" s="136">
        <v>43774</v>
      </c>
      <c r="K283" s="137" t="s">
        <v>488</v>
      </c>
    </row>
    <row r="284" spans="2:11" ht="15.6" x14ac:dyDescent="0.3">
      <c r="B284" s="130" t="s">
        <v>291</v>
      </c>
      <c r="C284" s="131" t="s">
        <v>283</v>
      </c>
      <c r="D284" s="131">
        <v>4590</v>
      </c>
      <c r="E284" s="132" t="s">
        <v>286</v>
      </c>
      <c r="F284" s="131">
        <v>19</v>
      </c>
      <c r="G284" s="131">
        <v>4</v>
      </c>
      <c r="H284" s="131">
        <v>87210</v>
      </c>
      <c r="I284" s="131">
        <v>18360</v>
      </c>
      <c r="J284" s="133">
        <v>43775</v>
      </c>
      <c r="K284" s="134" t="s">
        <v>666</v>
      </c>
    </row>
    <row r="285" spans="2:11" ht="15.6" x14ac:dyDescent="0.3">
      <c r="B285" s="126" t="s">
        <v>274</v>
      </c>
      <c r="C285" s="135" t="s">
        <v>283</v>
      </c>
      <c r="D285" s="135">
        <v>1560</v>
      </c>
      <c r="E285" s="127" t="s">
        <v>281</v>
      </c>
      <c r="F285" s="135">
        <v>30</v>
      </c>
      <c r="G285" s="135">
        <v>2</v>
      </c>
      <c r="H285" s="135">
        <v>46800</v>
      </c>
      <c r="I285" s="135">
        <v>3120</v>
      </c>
      <c r="J285" s="136">
        <v>43777</v>
      </c>
      <c r="K285" s="137" t="s">
        <v>488</v>
      </c>
    </row>
    <row r="286" spans="2:11" ht="15.6" x14ac:dyDescent="0.3">
      <c r="B286" s="130" t="s">
        <v>278</v>
      </c>
      <c r="C286" s="131" t="s">
        <v>280</v>
      </c>
      <c r="D286" s="131">
        <v>2540</v>
      </c>
      <c r="E286" s="132" t="s">
        <v>270</v>
      </c>
      <c r="F286" s="131">
        <v>39</v>
      </c>
      <c r="G286" s="131">
        <v>0</v>
      </c>
      <c r="H286" s="131">
        <v>99060</v>
      </c>
      <c r="I286" s="131">
        <v>0</v>
      </c>
      <c r="J286" s="133">
        <v>43777</v>
      </c>
      <c r="K286" s="134" t="s">
        <v>680</v>
      </c>
    </row>
    <row r="287" spans="2:11" ht="15.6" x14ac:dyDescent="0.3">
      <c r="B287" s="126" t="s">
        <v>268</v>
      </c>
      <c r="C287" s="135" t="s">
        <v>292</v>
      </c>
      <c r="D287" s="135">
        <v>3750</v>
      </c>
      <c r="E287" s="127" t="s">
        <v>270</v>
      </c>
      <c r="F287" s="135">
        <v>41</v>
      </c>
      <c r="G287" s="135">
        <v>3</v>
      </c>
      <c r="H287" s="135">
        <v>153750</v>
      </c>
      <c r="I287" s="135">
        <v>11250</v>
      </c>
      <c r="J287" s="136">
        <v>43778</v>
      </c>
      <c r="K287" s="137" t="s">
        <v>680</v>
      </c>
    </row>
    <row r="288" spans="2:11" ht="15.6" x14ac:dyDescent="0.3">
      <c r="B288" s="130" t="s">
        <v>282</v>
      </c>
      <c r="C288" s="131" t="s">
        <v>289</v>
      </c>
      <c r="D288" s="131">
        <v>3250</v>
      </c>
      <c r="E288" s="132" t="s">
        <v>281</v>
      </c>
      <c r="F288" s="131">
        <v>17</v>
      </c>
      <c r="G288" s="131">
        <v>2</v>
      </c>
      <c r="H288" s="131">
        <v>55250</v>
      </c>
      <c r="I288" s="131">
        <v>6500</v>
      </c>
      <c r="J288" s="133">
        <v>43778</v>
      </c>
      <c r="K288" s="134" t="s">
        <v>687</v>
      </c>
    </row>
    <row r="289" spans="2:11" ht="15.6" x14ac:dyDescent="0.3">
      <c r="B289" s="126" t="s">
        <v>278</v>
      </c>
      <c r="C289" s="135" t="s">
        <v>283</v>
      </c>
      <c r="D289" s="135">
        <v>2150</v>
      </c>
      <c r="E289" s="127" t="s">
        <v>270</v>
      </c>
      <c r="F289" s="135">
        <v>18</v>
      </c>
      <c r="G289" s="135">
        <v>2</v>
      </c>
      <c r="H289" s="135">
        <v>38700</v>
      </c>
      <c r="I289" s="135">
        <v>4300</v>
      </c>
      <c r="J289" s="136">
        <v>43780</v>
      </c>
      <c r="K289" s="137" t="s">
        <v>680</v>
      </c>
    </row>
    <row r="290" spans="2:11" ht="15.6" x14ac:dyDescent="0.3">
      <c r="B290" s="130" t="s">
        <v>288</v>
      </c>
      <c r="C290" s="131" t="s">
        <v>289</v>
      </c>
      <c r="D290" s="131">
        <v>1280</v>
      </c>
      <c r="E290" s="132" t="s">
        <v>270</v>
      </c>
      <c r="F290" s="131">
        <v>21</v>
      </c>
      <c r="G290" s="131">
        <v>0</v>
      </c>
      <c r="H290" s="131">
        <v>26880</v>
      </c>
      <c r="I290" s="131">
        <v>0</v>
      </c>
      <c r="J290" s="133">
        <v>43781</v>
      </c>
      <c r="K290" s="134" t="s">
        <v>666</v>
      </c>
    </row>
    <row r="291" spans="2:11" ht="15.6" x14ac:dyDescent="0.3">
      <c r="B291" s="126" t="s">
        <v>274</v>
      </c>
      <c r="C291" s="135" t="s">
        <v>280</v>
      </c>
      <c r="D291" s="135">
        <v>1650</v>
      </c>
      <c r="E291" s="127" t="s">
        <v>270</v>
      </c>
      <c r="F291" s="135">
        <v>39</v>
      </c>
      <c r="G291" s="135">
        <v>3</v>
      </c>
      <c r="H291" s="135">
        <v>64350</v>
      </c>
      <c r="I291" s="135">
        <v>4950</v>
      </c>
      <c r="J291" s="136">
        <v>43782</v>
      </c>
      <c r="K291" s="137" t="s">
        <v>488</v>
      </c>
    </row>
    <row r="292" spans="2:11" ht="15.6" x14ac:dyDescent="0.3">
      <c r="B292" s="130" t="s">
        <v>278</v>
      </c>
      <c r="C292" s="131" t="s">
        <v>285</v>
      </c>
      <c r="D292" s="131">
        <v>1790</v>
      </c>
      <c r="E292" s="132" t="s">
        <v>273</v>
      </c>
      <c r="F292" s="131">
        <v>14</v>
      </c>
      <c r="G292" s="131">
        <v>4</v>
      </c>
      <c r="H292" s="131">
        <v>25060</v>
      </c>
      <c r="I292" s="131">
        <v>7160</v>
      </c>
      <c r="J292" s="133">
        <v>43782</v>
      </c>
      <c r="K292" s="134" t="s">
        <v>680</v>
      </c>
    </row>
    <row r="293" spans="2:11" ht="15.6" x14ac:dyDescent="0.3">
      <c r="B293" s="126" t="s">
        <v>291</v>
      </c>
      <c r="C293" s="135" t="s">
        <v>283</v>
      </c>
      <c r="D293" s="135">
        <v>4590</v>
      </c>
      <c r="E293" s="127" t="s">
        <v>287</v>
      </c>
      <c r="F293" s="135">
        <v>27</v>
      </c>
      <c r="G293" s="135">
        <v>2</v>
      </c>
      <c r="H293" s="135">
        <v>123930</v>
      </c>
      <c r="I293" s="135">
        <v>9180</v>
      </c>
      <c r="J293" s="136">
        <v>43784</v>
      </c>
      <c r="K293" s="137" t="s">
        <v>666</v>
      </c>
    </row>
    <row r="294" spans="2:11" ht="15.6" x14ac:dyDescent="0.3">
      <c r="B294" s="130" t="s">
        <v>282</v>
      </c>
      <c r="C294" s="131" t="s">
        <v>283</v>
      </c>
      <c r="D294" s="131">
        <v>2390</v>
      </c>
      <c r="E294" s="132" t="s">
        <v>273</v>
      </c>
      <c r="F294" s="131">
        <v>50</v>
      </c>
      <c r="G294" s="131">
        <v>0</v>
      </c>
      <c r="H294" s="131">
        <v>119500</v>
      </c>
      <c r="I294" s="131">
        <v>0</v>
      </c>
      <c r="J294" s="133">
        <v>43791</v>
      </c>
      <c r="K294" s="134" t="s">
        <v>687</v>
      </c>
    </row>
    <row r="295" spans="2:11" ht="15.6" x14ac:dyDescent="0.3">
      <c r="B295" s="126" t="s">
        <v>271</v>
      </c>
      <c r="C295" s="135" t="s">
        <v>280</v>
      </c>
      <c r="D295" s="135">
        <v>2900</v>
      </c>
      <c r="E295" s="127" t="s">
        <v>286</v>
      </c>
      <c r="F295" s="135">
        <v>36</v>
      </c>
      <c r="G295" s="135">
        <v>3</v>
      </c>
      <c r="H295" s="135">
        <v>104400</v>
      </c>
      <c r="I295" s="135">
        <v>8700</v>
      </c>
      <c r="J295" s="136">
        <v>43792</v>
      </c>
      <c r="K295" s="137" t="s">
        <v>488</v>
      </c>
    </row>
    <row r="296" spans="2:11" ht="15.6" x14ac:dyDescent="0.3">
      <c r="B296" s="130" t="s">
        <v>278</v>
      </c>
      <c r="C296" s="131" t="s">
        <v>275</v>
      </c>
      <c r="D296" s="131">
        <v>3900</v>
      </c>
      <c r="E296" s="132" t="s">
        <v>286</v>
      </c>
      <c r="F296" s="131">
        <v>41</v>
      </c>
      <c r="G296" s="131">
        <v>0</v>
      </c>
      <c r="H296" s="131">
        <v>159900</v>
      </c>
      <c r="I296" s="131">
        <v>0</v>
      </c>
      <c r="J296" s="133">
        <v>43794</v>
      </c>
      <c r="K296" s="134" t="s">
        <v>680</v>
      </c>
    </row>
    <row r="297" spans="2:11" ht="15.6" x14ac:dyDescent="0.3">
      <c r="B297" s="126" t="s">
        <v>282</v>
      </c>
      <c r="C297" s="135" t="s">
        <v>275</v>
      </c>
      <c r="D297" s="135">
        <v>1370</v>
      </c>
      <c r="E297" s="127" t="s">
        <v>273</v>
      </c>
      <c r="F297" s="135">
        <v>38</v>
      </c>
      <c r="G297" s="135">
        <v>4</v>
      </c>
      <c r="H297" s="135">
        <v>52060</v>
      </c>
      <c r="I297" s="135">
        <v>5480</v>
      </c>
      <c r="J297" s="136">
        <v>43794</v>
      </c>
      <c r="K297" s="137" t="s">
        <v>687</v>
      </c>
    </row>
    <row r="298" spans="2:11" ht="15.6" x14ac:dyDescent="0.3">
      <c r="B298" s="130" t="s">
        <v>268</v>
      </c>
      <c r="C298" s="131" t="s">
        <v>272</v>
      </c>
      <c r="D298" s="131">
        <v>4750</v>
      </c>
      <c r="E298" s="132" t="s">
        <v>286</v>
      </c>
      <c r="F298" s="131">
        <v>10</v>
      </c>
      <c r="G298" s="131">
        <v>3</v>
      </c>
      <c r="H298" s="131">
        <v>47500</v>
      </c>
      <c r="I298" s="131">
        <v>14250</v>
      </c>
      <c r="J298" s="133">
        <v>43795</v>
      </c>
      <c r="K298" s="134" t="s">
        <v>680</v>
      </c>
    </row>
    <row r="299" spans="2:11" ht="15.6" x14ac:dyDescent="0.3">
      <c r="B299" s="126" t="s">
        <v>271</v>
      </c>
      <c r="C299" s="135" t="s">
        <v>285</v>
      </c>
      <c r="D299" s="135">
        <v>4100</v>
      </c>
      <c r="E299" s="127" t="s">
        <v>276</v>
      </c>
      <c r="F299" s="135">
        <v>18</v>
      </c>
      <c r="G299" s="135">
        <v>1</v>
      </c>
      <c r="H299" s="135">
        <v>73800</v>
      </c>
      <c r="I299" s="135">
        <v>4100</v>
      </c>
      <c r="J299" s="136">
        <v>43797</v>
      </c>
      <c r="K299" s="137" t="s">
        <v>488</v>
      </c>
    </row>
    <row r="300" spans="2:11" ht="15.6" x14ac:dyDescent="0.3">
      <c r="B300" s="130" t="s">
        <v>268</v>
      </c>
      <c r="C300" s="131" t="s">
        <v>295</v>
      </c>
      <c r="D300" s="131">
        <v>4500</v>
      </c>
      <c r="E300" s="132" t="s">
        <v>270</v>
      </c>
      <c r="F300" s="131">
        <v>28</v>
      </c>
      <c r="G300" s="131">
        <v>3</v>
      </c>
      <c r="H300" s="131">
        <v>126000</v>
      </c>
      <c r="I300" s="131">
        <v>13500</v>
      </c>
      <c r="J300" s="133">
        <v>43798</v>
      </c>
      <c r="K300" s="134" t="s">
        <v>680</v>
      </c>
    </row>
    <row r="301" spans="2:11" ht="15.6" x14ac:dyDescent="0.3">
      <c r="B301" s="126" t="s">
        <v>282</v>
      </c>
      <c r="C301" s="135" t="s">
        <v>284</v>
      </c>
      <c r="D301" s="135">
        <v>4800</v>
      </c>
      <c r="E301" s="127" t="s">
        <v>273</v>
      </c>
      <c r="F301" s="135">
        <v>48</v>
      </c>
      <c r="G301" s="135">
        <v>3</v>
      </c>
      <c r="H301" s="135">
        <v>230400</v>
      </c>
      <c r="I301" s="135">
        <v>14400</v>
      </c>
      <c r="J301" s="136">
        <v>43800</v>
      </c>
      <c r="K301" s="137" t="s">
        <v>687</v>
      </c>
    </row>
    <row r="302" spans="2:11" ht="15.6" x14ac:dyDescent="0.3">
      <c r="B302" s="130" t="s">
        <v>282</v>
      </c>
      <c r="C302" s="131" t="s">
        <v>285</v>
      </c>
      <c r="D302" s="131">
        <v>1990</v>
      </c>
      <c r="E302" s="132" t="s">
        <v>270</v>
      </c>
      <c r="F302" s="131">
        <v>18</v>
      </c>
      <c r="G302" s="131">
        <v>0</v>
      </c>
      <c r="H302" s="131">
        <v>35820</v>
      </c>
      <c r="I302" s="131">
        <v>0</v>
      </c>
      <c r="J302" s="133">
        <v>43800</v>
      </c>
      <c r="K302" s="134" t="s">
        <v>687</v>
      </c>
    </row>
    <row r="303" spans="2:11" ht="15.6" x14ac:dyDescent="0.3">
      <c r="B303" s="126" t="s">
        <v>279</v>
      </c>
      <c r="C303" s="135" t="s">
        <v>289</v>
      </c>
      <c r="D303" s="135">
        <v>1800</v>
      </c>
      <c r="E303" s="127" t="s">
        <v>276</v>
      </c>
      <c r="F303" s="135">
        <v>44</v>
      </c>
      <c r="G303" s="135">
        <v>1</v>
      </c>
      <c r="H303" s="135">
        <v>79200</v>
      </c>
      <c r="I303" s="135">
        <v>1800</v>
      </c>
      <c r="J303" s="136">
        <v>43800</v>
      </c>
      <c r="K303" s="137" t="s">
        <v>687</v>
      </c>
    </row>
    <row r="304" spans="2:11" ht="15.6" x14ac:dyDescent="0.3">
      <c r="B304" s="130" t="s">
        <v>293</v>
      </c>
      <c r="C304" s="131" t="s">
        <v>277</v>
      </c>
      <c r="D304" s="131">
        <v>1250</v>
      </c>
      <c r="E304" s="132" t="s">
        <v>273</v>
      </c>
      <c r="F304" s="131">
        <v>13</v>
      </c>
      <c r="G304" s="131">
        <v>0</v>
      </c>
      <c r="H304" s="131">
        <v>16250</v>
      </c>
      <c r="I304" s="131">
        <v>0</v>
      </c>
      <c r="J304" s="133">
        <v>43800</v>
      </c>
      <c r="K304" s="134" t="s">
        <v>497</v>
      </c>
    </row>
    <row r="305" spans="2:11" ht="15.6" x14ac:dyDescent="0.3">
      <c r="B305" s="126" t="s">
        <v>271</v>
      </c>
      <c r="C305" s="135" t="s">
        <v>284</v>
      </c>
      <c r="D305" s="135">
        <v>3000</v>
      </c>
      <c r="E305" s="127" t="s">
        <v>287</v>
      </c>
      <c r="F305" s="135">
        <v>37</v>
      </c>
      <c r="G305" s="135">
        <v>0</v>
      </c>
      <c r="H305" s="135">
        <v>111000</v>
      </c>
      <c r="I305" s="135">
        <v>0</v>
      </c>
      <c r="J305" s="136">
        <v>43803</v>
      </c>
      <c r="K305" s="137" t="s">
        <v>488</v>
      </c>
    </row>
    <row r="306" spans="2:11" ht="15.6" x14ac:dyDescent="0.3">
      <c r="B306" s="130" t="s">
        <v>278</v>
      </c>
      <c r="C306" s="131" t="s">
        <v>275</v>
      </c>
      <c r="D306" s="131">
        <v>3900</v>
      </c>
      <c r="E306" s="132" t="s">
        <v>276</v>
      </c>
      <c r="F306" s="131">
        <v>38</v>
      </c>
      <c r="G306" s="131">
        <v>0</v>
      </c>
      <c r="H306" s="131">
        <v>148200</v>
      </c>
      <c r="I306" s="131">
        <v>0</v>
      </c>
      <c r="J306" s="133">
        <v>43803</v>
      </c>
      <c r="K306" s="134" t="s">
        <v>680</v>
      </c>
    </row>
    <row r="307" spans="2:11" ht="15.6" x14ac:dyDescent="0.3">
      <c r="B307" s="126" t="s">
        <v>279</v>
      </c>
      <c r="C307" s="135" t="s">
        <v>280</v>
      </c>
      <c r="D307" s="135">
        <v>1150</v>
      </c>
      <c r="E307" s="127" t="s">
        <v>286</v>
      </c>
      <c r="F307" s="135">
        <v>38</v>
      </c>
      <c r="G307" s="135">
        <v>2</v>
      </c>
      <c r="H307" s="135">
        <v>43700</v>
      </c>
      <c r="I307" s="135">
        <v>2300</v>
      </c>
      <c r="J307" s="136">
        <v>43803</v>
      </c>
      <c r="K307" s="137" t="s">
        <v>687</v>
      </c>
    </row>
    <row r="308" spans="2:11" ht="15.6" x14ac:dyDescent="0.3">
      <c r="B308" s="130" t="s">
        <v>288</v>
      </c>
      <c r="C308" s="131" t="s">
        <v>280</v>
      </c>
      <c r="D308" s="131">
        <v>1490</v>
      </c>
      <c r="E308" s="132" t="s">
        <v>270</v>
      </c>
      <c r="F308" s="131">
        <v>47</v>
      </c>
      <c r="G308" s="131">
        <v>0</v>
      </c>
      <c r="H308" s="131">
        <v>70030</v>
      </c>
      <c r="I308" s="131">
        <v>0</v>
      </c>
      <c r="J308" s="133">
        <v>43804</v>
      </c>
      <c r="K308" s="134" t="s">
        <v>666</v>
      </c>
    </row>
    <row r="309" spans="2:11" ht="15.6" x14ac:dyDescent="0.3">
      <c r="B309" s="126" t="s">
        <v>290</v>
      </c>
      <c r="C309" s="135" t="s">
        <v>285</v>
      </c>
      <c r="D309" s="135">
        <v>1200</v>
      </c>
      <c r="E309" s="127" t="s">
        <v>287</v>
      </c>
      <c r="F309" s="135">
        <v>39</v>
      </c>
      <c r="G309" s="135">
        <v>0</v>
      </c>
      <c r="H309" s="135">
        <v>46800</v>
      </c>
      <c r="I309" s="135">
        <v>0</v>
      </c>
      <c r="J309" s="136">
        <v>43804</v>
      </c>
      <c r="K309" s="137" t="s">
        <v>666</v>
      </c>
    </row>
    <row r="310" spans="2:11" ht="15.6" x14ac:dyDescent="0.3">
      <c r="B310" s="130" t="s">
        <v>293</v>
      </c>
      <c r="C310" s="131" t="s">
        <v>280</v>
      </c>
      <c r="D310" s="131">
        <v>1650</v>
      </c>
      <c r="E310" s="132" t="s">
        <v>273</v>
      </c>
      <c r="F310" s="131">
        <v>39</v>
      </c>
      <c r="G310" s="131">
        <v>4</v>
      </c>
      <c r="H310" s="131">
        <v>64350</v>
      </c>
      <c r="I310" s="131">
        <v>6600</v>
      </c>
      <c r="J310" s="133">
        <v>43804</v>
      </c>
      <c r="K310" s="134" t="s">
        <v>497</v>
      </c>
    </row>
    <row r="311" spans="2:11" ht="15.6" x14ac:dyDescent="0.3">
      <c r="B311" s="126" t="s">
        <v>293</v>
      </c>
      <c r="C311" s="135" t="s">
        <v>280</v>
      </c>
      <c r="D311" s="135">
        <v>1660</v>
      </c>
      <c r="E311" s="127" t="s">
        <v>276</v>
      </c>
      <c r="F311" s="135">
        <v>44</v>
      </c>
      <c r="G311" s="135">
        <v>3</v>
      </c>
      <c r="H311" s="135">
        <v>73040</v>
      </c>
      <c r="I311" s="135">
        <v>4980</v>
      </c>
      <c r="J311" s="136">
        <v>43807</v>
      </c>
      <c r="K311" s="137" t="s">
        <v>497</v>
      </c>
    </row>
    <row r="312" spans="2:11" ht="15.6" x14ac:dyDescent="0.3">
      <c r="B312" s="130" t="s">
        <v>278</v>
      </c>
      <c r="C312" s="131" t="s">
        <v>283</v>
      </c>
      <c r="D312" s="131">
        <v>2300</v>
      </c>
      <c r="E312" s="132" t="s">
        <v>287</v>
      </c>
      <c r="F312" s="131">
        <v>34</v>
      </c>
      <c r="G312" s="131">
        <v>4</v>
      </c>
      <c r="H312" s="131">
        <v>78200</v>
      </c>
      <c r="I312" s="131">
        <v>9200</v>
      </c>
      <c r="J312" s="133">
        <v>43810</v>
      </c>
      <c r="K312" s="134" t="s">
        <v>680</v>
      </c>
    </row>
    <row r="313" spans="2:11" ht="15.6" x14ac:dyDescent="0.3">
      <c r="B313" s="126" t="s">
        <v>278</v>
      </c>
      <c r="C313" s="135" t="s">
        <v>277</v>
      </c>
      <c r="D313" s="135">
        <v>2600</v>
      </c>
      <c r="E313" s="127" t="s">
        <v>286</v>
      </c>
      <c r="F313" s="135">
        <v>32</v>
      </c>
      <c r="G313" s="135">
        <v>0</v>
      </c>
      <c r="H313" s="135">
        <v>83200</v>
      </c>
      <c r="I313" s="135">
        <v>0</v>
      </c>
      <c r="J313" s="136">
        <v>43812</v>
      </c>
      <c r="K313" s="137" t="s">
        <v>680</v>
      </c>
    </row>
    <row r="314" spans="2:11" ht="15.6" x14ac:dyDescent="0.3">
      <c r="B314" s="130" t="s">
        <v>282</v>
      </c>
      <c r="C314" s="131" t="s">
        <v>289</v>
      </c>
      <c r="D314" s="131">
        <v>3200</v>
      </c>
      <c r="E314" s="132" t="s">
        <v>286</v>
      </c>
      <c r="F314" s="131">
        <v>29</v>
      </c>
      <c r="G314" s="131">
        <v>0</v>
      </c>
      <c r="H314" s="131">
        <v>92800</v>
      </c>
      <c r="I314" s="131">
        <v>0</v>
      </c>
      <c r="J314" s="133">
        <v>43812</v>
      </c>
      <c r="K314" s="134" t="s">
        <v>687</v>
      </c>
    </row>
    <row r="315" spans="2:11" ht="15.6" x14ac:dyDescent="0.3">
      <c r="B315" s="126" t="s">
        <v>274</v>
      </c>
      <c r="C315" s="135" t="s">
        <v>280</v>
      </c>
      <c r="D315" s="135">
        <v>1700</v>
      </c>
      <c r="E315" s="127" t="s">
        <v>286</v>
      </c>
      <c r="F315" s="135">
        <v>14</v>
      </c>
      <c r="G315" s="135">
        <v>4</v>
      </c>
      <c r="H315" s="135">
        <v>23800</v>
      </c>
      <c r="I315" s="135">
        <v>6800</v>
      </c>
      <c r="J315" s="136">
        <v>43813</v>
      </c>
      <c r="K315" s="137" t="s">
        <v>488</v>
      </c>
    </row>
    <row r="316" spans="2:11" ht="15.6" x14ac:dyDescent="0.3">
      <c r="B316" s="130" t="s">
        <v>291</v>
      </c>
      <c r="C316" s="131" t="s">
        <v>277</v>
      </c>
      <c r="D316" s="131">
        <v>9990</v>
      </c>
      <c r="E316" s="132" t="s">
        <v>276</v>
      </c>
      <c r="F316" s="131">
        <v>43</v>
      </c>
      <c r="G316" s="131">
        <v>4</v>
      </c>
      <c r="H316" s="131">
        <v>429570</v>
      </c>
      <c r="I316" s="131">
        <v>39960</v>
      </c>
      <c r="J316" s="133">
        <v>43815</v>
      </c>
      <c r="K316" s="134" t="s">
        <v>666</v>
      </c>
    </row>
    <row r="317" spans="2:11" ht="15.6" x14ac:dyDescent="0.3">
      <c r="B317" s="126" t="s">
        <v>271</v>
      </c>
      <c r="C317" s="135" t="s">
        <v>272</v>
      </c>
      <c r="D317" s="135">
        <v>3880</v>
      </c>
      <c r="E317" s="127" t="s">
        <v>270</v>
      </c>
      <c r="F317" s="135">
        <v>15</v>
      </c>
      <c r="G317" s="135">
        <v>1</v>
      </c>
      <c r="H317" s="135">
        <v>58200</v>
      </c>
      <c r="I317" s="135">
        <v>3880</v>
      </c>
      <c r="J317" s="136">
        <v>43816</v>
      </c>
      <c r="K317" s="137" t="s">
        <v>488</v>
      </c>
    </row>
    <row r="318" spans="2:11" ht="15.6" x14ac:dyDescent="0.3">
      <c r="B318" s="130" t="s">
        <v>279</v>
      </c>
      <c r="C318" s="131" t="s">
        <v>275</v>
      </c>
      <c r="D318" s="131">
        <v>900</v>
      </c>
      <c r="E318" s="132" t="s">
        <v>281</v>
      </c>
      <c r="F318" s="131">
        <v>22</v>
      </c>
      <c r="G318" s="131">
        <v>1</v>
      </c>
      <c r="H318" s="131">
        <v>19800</v>
      </c>
      <c r="I318" s="131">
        <v>900</v>
      </c>
      <c r="J318" s="133">
        <v>43816</v>
      </c>
      <c r="K318" s="134" t="s">
        <v>687</v>
      </c>
    </row>
    <row r="319" spans="2:11" ht="15.6" x14ac:dyDescent="0.3">
      <c r="B319" s="126" t="s">
        <v>282</v>
      </c>
      <c r="C319" s="135" t="s">
        <v>285</v>
      </c>
      <c r="D319" s="135">
        <v>1990</v>
      </c>
      <c r="E319" s="127" t="s">
        <v>273</v>
      </c>
      <c r="F319" s="135">
        <v>25</v>
      </c>
      <c r="G319" s="135">
        <v>3</v>
      </c>
      <c r="H319" s="135">
        <v>49750</v>
      </c>
      <c r="I319" s="135">
        <v>5970</v>
      </c>
      <c r="J319" s="136">
        <v>43817</v>
      </c>
      <c r="K319" s="137" t="s">
        <v>687</v>
      </c>
    </row>
    <row r="320" spans="2:11" ht="15.6" x14ac:dyDescent="0.3">
      <c r="B320" s="130" t="s">
        <v>293</v>
      </c>
      <c r="C320" s="131" t="s">
        <v>289</v>
      </c>
      <c r="D320" s="131">
        <v>2000</v>
      </c>
      <c r="E320" s="132" t="s">
        <v>270</v>
      </c>
      <c r="F320" s="131">
        <v>50</v>
      </c>
      <c r="G320" s="131">
        <v>2</v>
      </c>
      <c r="H320" s="131">
        <v>100000</v>
      </c>
      <c r="I320" s="131">
        <v>4000</v>
      </c>
      <c r="J320" s="133">
        <v>43817</v>
      </c>
      <c r="K320" s="134" t="s">
        <v>497</v>
      </c>
    </row>
    <row r="321" spans="2:11" ht="15.6" x14ac:dyDescent="0.3">
      <c r="B321" s="126" t="s">
        <v>274</v>
      </c>
      <c r="C321" s="135" t="s">
        <v>289</v>
      </c>
      <c r="D321" s="135">
        <v>1150</v>
      </c>
      <c r="E321" s="127" t="s">
        <v>281</v>
      </c>
      <c r="F321" s="135">
        <v>47</v>
      </c>
      <c r="G321" s="135">
        <v>2</v>
      </c>
      <c r="H321" s="135">
        <v>54050</v>
      </c>
      <c r="I321" s="135">
        <v>2300</v>
      </c>
      <c r="J321" s="136">
        <v>43820</v>
      </c>
      <c r="K321" s="137" t="s">
        <v>488</v>
      </c>
    </row>
    <row r="322" spans="2:11" ht="15.6" x14ac:dyDescent="0.3">
      <c r="B322" s="130" t="s">
        <v>271</v>
      </c>
      <c r="C322" s="131" t="s">
        <v>272</v>
      </c>
      <c r="D322" s="131">
        <v>3880</v>
      </c>
      <c r="E322" s="132" t="s">
        <v>287</v>
      </c>
      <c r="F322" s="131">
        <v>22</v>
      </c>
      <c r="G322" s="131">
        <v>2</v>
      </c>
      <c r="H322" s="131">
        <v>85360</v>
      </c>
      <c r="I322" s="131">
        <v>7760</v>
      </c>
      <c r="J322" s="133">
        <v>43822</v>
      </c>
      <c r="K322" s="134" t="s">
        <v>488</v>
      </c>
    </row>
    <row r="323" spans="2:11" ht="15.6" x14ac:dyDescent="0.3">
      <c r="B323" s="126" t="s">
        <v>268</v>
      </c>
      <c r="C323" s="135" t="s">
        <v>269</v>
      </c>
      <c r="D323" s="135">
        <v>2800</v>
      </c>
      <c r="E323" s="127" t="s">
        <v>287</v>
      </c>
      <c r="F323" s="135">
        <v>16</v>
      </c>
      <c r="G323" s="135">
        <v>3</v>
      </c>
      <c r="H323" s="135">
        <v>44800</v>
      </c>
      <c r="I323" s="135">
        <v>8400</v>
      </c>
      <c r="J323" s="136">
        <v>43823</v>
      </c>
      <c r="K323" s="137" t="s">
        <v>680</v>
      </c>
    </row>
    <row r="324" spans="2:11" ht="15.6" x14ac:dyDescent="0.3">
      <c r="B324" s="130" t="s">
        <v>279</v>
      </c>
      <c r="C324" s="131" t="s">
        <v>289</v>
      </c>
      <c r="D324" s="131">
        <v>1750</v>
      </c>
      <c r="E324" s="132" t="s">
        <v>273</v>
      </c>
      <c r="F324" s="131">
        <v>42</v>
      </c>
      <c r="G324" s="131">
        <v>0</v>
      </c>
      <c r="H324" s="131">
        <v>73500</v>
      </c>
      <c r="I324" s="131">
        <v>0</v>
      </c>
      <c r="J324" s="133">
        <v>43823</v>
      </c>
      <c r="K324" s="134" t="s">
        <v>687</v>
      </c>
    </row>
    <row r="325" spans="2:11" ht="15.6" x14ac:dyDescent="0.3">
      <c r="B325" s="126" t="s">
        <v>279</v>
      </c>
      <c r="C325" s="135" t="s">
        <v>284</v>
      </c>
      <c r="D325" s="135">
        <v>1950</v>
      </c>
      <c r="E325" s="127" t="s">
        <v>287</v>
      </c>
      <c r="F325" s="135">
        <v>35</v>
      </c>
      <c r="G325" s="135">
        <v>2</v>
      </c>
      <c r="H325" s="135">
        <v>68250</v>
      </c>
      <c r="I325" s="135">
        <v>3900</v>
      </c>
      <c r="J325" s="136">
        <v>43824</v>
      </c>
      <c r="K325" s="137" t="s">
        <v>687</v>
      </c>
    </row>
    <row r="326" spans="2:11" ht="15.6" x14ac:dyDescent="0.3">
      <c r="B326" s="130" t="s">
        <v>278</v>
      </c>
      <c r="C326" s="131" t="s">
        <v>283</v>
      </c>
      <c r="D326" s="131">
        <v>2200</v>
      </c>
      <c r="E326" s="132" t="s">
        <v>276</v>
      </c>
      <c r="F326" s="131">
        <v>25</v>
      </c>
      <c r="G326" s="131">
        <v>4</v>
      </c>
      <c r="H326" s="131">
        <v>55000</v>
      </c>
      <c r="I326" s="131">
        <v>8800</v>
      </c>
      <c r="J326" s="133">
        <v>43825</v>
      </c>
      <c r="K326" s="134" t="s">
        <v>680</v>
      </c>
    </row>
    <row r="327" spans="2:11" ht="15.6" x14ac:dyDescent="0.3">
      <c r="B327" s="126" t="s">
        <v>290</v>
      </c>
      <c r="C327" s="135" t="s">
        <v>284</v>
      </c>
      <c r="D327" s="135">
        <v>1080</v>
      </c>
      <c r="E327" s="127" t="s">
        <v>270</v>
      </c>
      <c r="F327" s="135">
        <v>43</v>
      </c>
      <c r="G327" s="135">
        <v>4</v>
      </c>
      <c r="H327" s="135">
        <v>46440</v>
      </c>
      <c r="I327" s="135">
        <v>4320</v>
      </c>
      <c r="J327" s="136">
        <v>43826</v>
      </c>
      <c r="K327" s="137" t="s">
        <v>666</v>
      </c>
    </row>
    <row r="328" spans="2:11" ht="15.6" x14ac:dyDescent="0.3">
      <c r="B328" s="130" t="s">
        <v>274</v>
      </c>
      <c r="C328" s="131" t="s">
        <v>275</v>
      </c>
      <c r="D328" s="131">
        <v>890</v>
      </c>
      <c r="E328" s="132" t="s">
        <v>287</v>
      </c>
      <c r="F328" s="131">
        <v>50</v>
      </c>
      <c r="G328" s="131">
        <v>4</v>
      </c>
      <c r="H328" s="131">
        <v>44500</v>
      </c>
      <c r="I328" s="131">
        <v>3560</v>
      </c>
      <c r="J328" s="133">
        <v>43827</v>
      </c>
      <c r="K328" s="134" t="s">
        <v>488</v>
      </c>
    </row>
    <row r="329" spans="2:11" ht="15.6" x14ac:dyDescent="0.3">
      <c r="B329" s="126" t="s">
        <v>271</v>
      </c>
      <c r="C329" s="135" t="s">
        <v>277</v>
      </c>
      <c r="D329" s="135">
        <v>4050</v>
      </c>
      <c r="E329" s="127" t="s">
        <v>270</v>
      </c>
      <c r="F329" s="135">
        <v>48</v>
      </c>
      <c r="G329" s="135">
        <v>4</v>
      </c>
      <c r="H329" s="135">
        <v>194400</v>
      </c>
      <c r="I329" s="135">
        <v>16200</v>
      </c>
      <c r="J329" s="136">
        <v>43827</v>
      </c>
      <c r="K329" s="137" t="s">
        <v>488</v>
      </c>
    </row>
    <row r="330" spans="2:11" ht="16.2" thickBot="1" x14ac:dyDescent="0.35">
      <c r="B330" s="138" t="s">
        <v>279</v>
      </c>
      <c r="C330" s="139" t="s">
        <v>284</v>
      </c>
      <c r="D330" s="139">
        <v>1950</v>
      </c>
      <c r="E330" s="140" t="s">
        <v>270</v>
      </c>
      <c r="F330" s="139">
        <v>43</v>
      </c>
      <c r="G330" s="139">
        <v>3</v>
      </c>
      <c r="H330" s="139">
        <v>83850</v>
      </c>
      <c r="I330" s="139">
        <v>5850</v>
      </c>
      <c r="J330" s="141">
        <v>43828</v>
      </c>
      <c r="K330" s="142" t="s">
        <v>687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E0B2-8FF9-4F8E-B5AA-B26CDBA56B13}">
  <sheetPr>
    <tabColor rgb="FF008000"/>
  </sheetPr>
  <dimension ref="A1"/>
  <sheetViews>
    <sheetView zoomScaleNormal="100" workbookViewId="0">
      <selection activeCell="AC22" sqref="AC22"/>
    </sheetView>
  </sheetViews>
  <sheetFormatPr defaultColWidth="8.6640625" defaultRowHeight="14.4" x14ac:dyDescent="0.3"/>
  <cols>
    <col min="1" max="16384" width="8.6640625" style="1"/>
  </cols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8AC0-9743-4785-AD44-91A803B5D21A}">
  <dimension ref="B2:F42"/>
  <sheetViews>
    <sheetView zoomScale="115" zoomScaleNormal="115" workbookViewId="0"/>
  </sheetViews>
  <sheetFormatPr defaultColWidth="9.109375" defaultRowHeight="14.4" x14ac:dyDescent="0.3"/>
  <cols>
    <col min="1" max="1" width="3.6640625" style="1" customWidth="1"/>
    <col min="2" max="2" width="28" style="156" bestFit="1" customWidth="1"/>
    <col min="3" max="3" width="14.88671875" style="156" customWidth="1"/>
    <col min="4" max="4" width="12.88671875" style="156" customWidth="1"/>
    <col min="5" max="5" width="13.44140625" style="156" bestFit="1" customWidth="1"/>
    <col min="6" max="6" width="14.6640625" style="156" customWidth="1"/>
    <col min="7" max="16384" width="9.109375" style="1"/>
  </cols>
  <sheetData>
    <row r="2" spans="2:6" ht="18" x14ac:dyDescent="0.35">
      <c r="B2" s="2" t="s">
        <v>9</v>
      </c>
    </row>
    <row r="3" spans="2:6" ht="18" x14ac:dyDescent="0.35">
      <c r="B3" s="3" t="s">
        <v>710</v>
      </c>
    </row>
    <row r="4" spans="2:6" ht="18" x14ac:dyDescent="0.35">
      <c r="B4" s="143" t="s">
        <v>717</v>
      </c>
    </row>
    <row r="5" spans="2:6" ht="18" x14ac:dyDescent="0.35">
      <c r="B5" s="143" t="s">
        <v>716</v>
      </c>
    </row>
    <row r="6" spans="2:6" ht="18" x14ac:dyDescent="0.35">
      <c r="B6" s="143" t="s">
        <v>718</v>
      </c>
      <c r="C6" s="1"/>
      <c r="D6" s="1"/>
      <c r="E6" s="1"/>
      <c r="F6" s="1"/>
    </row>
    <row r="7" spans="2:6" ht="15" thickBot="1" x14ac:dyDescent="0.35"/>
    <row r="8" spans="2:6" ht="40.5" customHeight="1" x14ac:dyDescent="0.3">
      <c r="B8" s="145" t="s">
        <v>23</v>
      </c>
      <c r="C8" s="146" t="s">
        <v>715</v>
      </c>
      <c r="D8" s="146" t="s">
        <v>712</v>
      </c>
      <c r="E8" s="146" t="s">
        <v>713</v>
      </c>
      <c r="F8" s="147" t="s">
        <v>714</v>
      </c>
    </row>
    <row r="9" spans="2:6" ht="15" x14ac:dyDescent="0.3">
      <c r="B9" s="148" t="s">
        <v>723</v>
      </c>
      <c r="C9" s="149">
        <v>250</v>
      </c>
      <c r="D9" s="150">
        <v>135575</v>
      </c>
      <c r="E9" s="150">
        <v>160093.10999999999</v>
      </c>
      <c r="F9" s="151">
        <v>24518.11</v>
      </c>
    </row>
    <row r="10" spans="2:6" ht="15" x14ac:dyDescent="0.3">
      <c r="B10" s="148" t="s">
        <v>723</v>
      </c>
      <c r="C10" s="149">
        <v>340</v>
      </c>
      <c r="D10" s="150">
        <v>203456</v>
      </c>
      <c r="E10" s="150">
        <v>241228.85488</v>
      </c>
      <c r="F10" s="151">
        <v>37772.854879999999</v>
      </c>
    </row>
    <row r="11" spans="2:6" ht="15" x14ac:dyDescent="0.3">
      <c r="B11" s="148" t="s">
        <v>723</v>
      </c>
      <c r="C11" s="149">
        <v>340</v>
      </c>
      <c r="D11" s="150">
        <v>190740</v>
      </c>
      <c r="E11" s="150">
        <v>217945.39648000002</v>
      </c>
      <c r="F11" s="151">
        <v>27205.396480000025</v>
      </c>
    </row>
    <row r="12" spans="2:6" ht="15" x14ac:dyDescent="0.3">
      <c r="B12" s="148" t="s">
        <v>723</v>
      </c>
      <c r="C12" s="149">
        <v>340</v>
      </c>
      <c r="D12" s="150">
        <v>190740</v>
      </c>
      <c r="E12" s="150">
        <v>220681.46351999999</v>
      </c>
      <c r="F12" s="151">
        <v>29941.46351999999</v>
      </c>
    </row>
    <row r="13" spans="2:6" ht="15" x14ac:dyDescent="0.3">
      <c r="B13" s="148" t="s">
        <v>723</v>
      </c>
      <c r="C13" s="149">
        <v>360</v>
      </c>
      <c r="D13" s="150">
        <v>228888</v>
      </c>
      <c r="E13" s="150">
        <v>265227.17543999996</v>
      </c>
      <c r="F13" s="151">
        <v>36339.175439999963</v>
      </c>
    </row>
    <row r="14" spans="2:6" ht="15" x14ac:dyDescent="0.3">
      <c r="B14" s="148" t="s">
        <v>723</v>
      </c>
      <c r="C14" s="149">
        <v>430</v>
      </c>
      <c r="D14" s="150">
        <v>249271</v>
      </c>
      <c r="E14" s="150">
        <v>294357.39095999999</v>
      </c>
      <c r="F14" s="151">
        <v>45086.39095999999</v>
      </c>
    </row>
    <row r="15" spans="2:6" ht="15" x14ac:dyDescent="0.3">
      <c r="B15" s="148" t="s">
        <v>719</v>
      </c>
      <c r="C15" s="149">
        <v>340</v>
      </c>
      <c r="D15" s="150">
        <v>305184</v>
      </c>
      <c r="E15" s="150">
        <v>348686.22207999998</v>
      </c>
      <c r="F15" s="151">
        <v>43502.222079999978</v>
      </c>
    </row>
    <row r="16" spans="2:6" ht="15" x14ac:dyDescent="0.3">
      <c r="B16" s="148" t="s">
        <v>719</v>
      </c>
      <c r="C16" s="149">
        <v>360</v>
      </c>
      <c r="D16" s="150">
        <v>336600</v>
      </c>
      <c r="E16" s="150">
        <v>390022.29863999999</v>
      </c>
      <c r="F16" s="151">
        <v>53422.298639999994</v>
      </c>
    </row>
    <row r="17" spans="2:6" ht="15" x14ac:dyDescent="0.3">
      <c r="B17" s="148" t="s">
        <v>720</v>
      </c>
      <c r="C17" s="149">
        <v>250</v>
      </c>
      <c r="D17" s="150">
        <v>163625</v>
      </c>
      <c r="E17" s="150">
        <v>189299.47500000003</v>
      </c>
      <c r="F17" s="151">
        <v>25674.475000000035</v>
      </c>
    </row>
    <row r="18" spans="2:6" ht="15" x14ac:dyDescent="0.3">
      <c r="B18" s="148" t="s">
        <v>720</v>
      </c>
      <c r="C18" s="149">
        <v>450</v>
      </c>
      <c r="D18" s="150">
        <v>336600</v>
      </c>
      <c r="E18" s="150">
        <v>380568.94200000004</v>
      </c>
      <c r="F18" s="151">
        <v>43968.942000000039</v>
      </c>
    </row>
    <row r="19" spans="2:6" ht="15" x14ac:dyDescent="0.3">
      <c r="B19" s="148" t="s">
        <v>720</v>
      </c>
      <c r="C19" s="149">
        <v>540</v>
      </c>
      <c r="D19" s="150">
        <v>383724</v>
      </c>
      <c r="E19" s="150">
        <v>449474.46911999991</v>
      </c>
      <c r="F19" s="151">
        <v>65750.469119999907</v>
      </c>
    </row>
    <row r="20" spans="2:6" ht="15" x14ac:dyDescent="0.3">
      <c r="B20" s="148" t="s">
        <v>720</v>
      </c>
      <c r="C20" s="149">
        <v>560</v>
      </c>
      <c r="D20" s="150">
        <v>366520</v>
      </c>
      <c r="E20" s="150">
        <v>424740.90623999998</v>
      </c>
      <c r="F20" s="151">
        <v>58220.906239999982</v>
      </c>
    </row>
    <row r="21" spans="2:6" ht="15" x14ac:dyDescent="0.3">
      <c r="B21" s="148" t="s">
        <v>720</v>
      </c>
      <c r="C21" s="149">
        <v>670</v>
      </c>
      <c r="D21" s="150">
        <v>451044</v>
      </c>
      <c r="E21" s="150">
        <v>524019.61743999994</v>
      </c>
      <c r="F21" s="151">
        <v>72975.617439999944</v>
      </c>
    </row>
    <row r="22" spans="2:6" ht="15" x14ac:dyDescent="0.3">
      <c r="B22" s="148" t="s">
        <v>726</v>
      </c>
      <c r="C22" s="149">
        <v>260</v>
      </c>
      <c r="D22" s="150">
        <v>243100</v>
      </c>
      <c r="E22" s="150">
        <v>276576.19391999999</v>
      </c>
      <c r="F22" s="151">
        <v>33476.193919999991</v>
      </c>
    </row>
    <row r="23" spans="2:6" ht="15" x14ac:dyDescent="0.3">
      <c r="B23" s="148" t="s">
        <v>726</v>
      </c>
      <c r="C23" s="149">
        <v>450</v>
      </c>
      <c r="D23" s="150">
        <v>420750</v>
      </c>
      <c r="E23" s="150">
        <v>481751.87399999995</v>
      </c>
      <c r="F23" s="151">
        <v>61001.873999999953</v>
      </c>
    </row>
    <row r="24" spans="2:6" ht="15" x14ac:dyDescent="0.3">
      <c r="B24" s="148" t="s">
        <v>726</v>
      </c>
      <c r="C24" s="149">
        <v>540</v>
      </c>
      <c r="D24" s="150">
        <v>484704</v>
      </c>
      <c r="E24" s="150">
        <v>560789.91791999992</v>
      </c>
      <c r="F24" s="151">
        <v>76085.91791999992</v>
      </c>
    </row>
    <row r="25" spans="2:6" ht="15" x14ac:dyDescent="0.3">
      <c r="B25" s="148" t="s">
        <v>726</v>
      </c>
      <c r="C25" s="149">
        <v>560</v>
      </c>
      <c r="D25" s="150">
        <v>492184</v>
      </c>
      <c r="E25" s="150">
        <v>562360.56575999991</v>
      </c>
      <c r="F25" s="151">
        <v>70176.56575999991</v>
      </c>
    </row>
    <row r="26" spans="2:6" ht="15" x14ac:dyDescent="0.3">
      <c r="B26" s="148" t="s">
        <v>726</v>
      </c>
      <c r="C26" s="149">
        <v>650</v>
      </c>
      <c r="D26" s="150">
        <v>559130</v>
      </c>
      <c r="E26" s="150">
        <v>647930.39512499992</v>
      </c>
      <c r="F26" s="151">
        <v>88800.395124999923</v>
      </c>
    </row>
    <row r="27" spans="2:6" ht="15" x14ac:dyDescent="0.3">
      <c r="B27" s="148" t="s">
        <v>726</v>
      </c>
      <c r="C27" s="149">
        <v>670</v>
      </c>
      <c r="D27" s="150">
        <v>601392</v>
      </c>
      <c r="E27" s="150">
        <v>704437.93567999988</v>
      </c>
      <c r="F27" s="151">
        <v>103045.93567999988</v>
      </c>
    </row>
    <row r="28" spans="2:6" ht="15" x14ac:dyDescent="0.3">
      <c r="B28" s="148" t="s">
        <v>722</v>
      </c>
      <c r="C28" s="149">
        <v>320</v>
      </c>
      <c r="D28" s="150">
        <v>209440</v>
      </c>
      <c r="E28" s="150">
        <v>236296.44799999997</v>
      </c>
      <c r="F28" s="151">
        <v>26856.447999999975</v>
      </c>
    </row>
    <row r="29" spans="2:6" ht="15" x14ac:dyDescent="0.3">
      <c r="B29" s="148" t="s">
        <v>722</v>
      </c>
      <c r="C29" s="149">
        <v>340</v>
      </c>
      <c r="D29" s="150">
        <v>247962</v>
      </c>
      <c r="E29" s="150">
        <v>287322.25673999998</v>
      </c>
      <c r="F29" s="151">
        <v>39360.256739999983</v>
      </c>
    </row>
    <row r="30" spans="2:6" ht="15" x14ac:dyDescent="0.3">
      <c r="B30" s="148" t="s">
        <v>722</v>
      </c>
      <c r="C30" s="149">
        <v>340</v>
      </c>
      <c r="D30" s="150">
        <v>267036</v>
      </c>
      <c r="E30" s="150">
        <v>309421.39313999994</v>
      </c>
      <c r="F30" s="151">
        <v>42385.393139999942</v>
      </c>
    </row>
    <row r="31" spans="2:6" ht="15" x14ac:dyDescent="0.3">
      <c r="B31" s="148" t="s">
        <v>722</v>
      </c>
      <c r="C31" s="149">
        <v>450</v>
      </c>
      <c r="D31" s="150">
        <v>387090</v>
      </c>
      <c r="E31" s="150">
        <v>447844.27499999997</v>
      </c>
      <c r="F31" s="151">
        <v>60754.274999999965</v>
      </c>
    </row>
    <row r="32" spans="2:6" ht="15" x14ac:dyDescent="0.3">
      <c r="B32" s="148" t="s">
        <v>722</v>
      </c>
      <c r="C32" s="149">
        <v>560</v>
      </c>
      <c r="D32" s="150">
        <v>492184</v>
      </c>
      <c r="E32" s="150">
        <v>555330.94400000002</v>
      </c>
      <c r="F32" s="151">
        <v>63146.944000000018</v>
      </c>
    </row>
    <row r="33" spans="2:6" ht="15" x14ac:dyDescent="0.3">
      <c r="B33" s="148" t="s">
        <v>722</v>
      </c>
      <c r="C33" s="149">
        <v>670</v>
      </c>
      <c r="D33" s="150">
        <v>538747</v>
      </c>
      <c r="E33" s="150">
        <v>624322.2980849999</v>
      </c>
      <c r="F33" s="151">
        <v>85575.2980849999</v>
      </c>
    </row>
    <row r="34" spans="2:6" ht="15" x14ac:dyDescent="0.3">
      <c r="B34" s="148" t="s">
        <v>721</v>
      </c>
      <c r="C34" s="149">
        <v>670</v>
      </c>
      <c r="D34" s="150">
        <v>338283</v>
      </c>
      <c r="E34" s="150">
        <v>382809.61712500005</v>
      </c>
      <c r="F34" s="151">
        <v>44526.617125000048</v>
      </c>
    </row>
    <row r="35" spans="2:6" ht="15" x14ac:dyDescent="0.3">
      <c r="B35" s="148" t="s">
        <v>721</v>
      </c>
      <c r="C35" s="149">
        <v>760</v>
      </c>
      <c r="D35" s="150">
        <v>426360</v>
      </c>
      <c r="E35" s="150">
        <v>487293.61407999991</v>
      </c>
      <c r="F35" s="151">
        <v>60933.614079999912</v>
      </c>
    </row>
    <row r="36" spans="2:6" ht="15" x14ac:dyDescent="0.3">
      <c r="B36" s="148" t="s">
        <v>721</v>
      </c>
      <c r="C36" s="149">
        <v>320</v>
      </c>
      <c r="D36" s="150">
        <v>215424</v>
      </c>
      <c r="E36" s="150">
        <v>246129.62303999998</v>
      </c>
      <c r="F36" s="151">
        <v>30705.623039999977</v>
      </c>
    </row>
    <row r="37" spans="2:6" ht="15" x14ac:dyDescent="0.3">
      <c r="B37" s="148" t="s">
        <v>724</v>
      </c>
      <c r="C37" s="149">
        <v>540</v>
      </c>
      <c r="D37" s="150">
        <v>282744</v>
      </c>
      <c r="E37" s="150">
        <v>335419.75745999994</v>
      </c>
      <c r="F37" s="151">
        <v>52675.757459999935</v>
      </c>
    </row>
    <row r="38" spans="2:6" ht="15" x14ac:dyDescent="0.3">
      <c r="B38" s="148" t="s">
        <v>724</v>
      </c>
      <c r="C38" s="149">
        <v>340</v>
      </c>
      <c r="D38" s="150">
        <v>286110</v>
      </c>
      <c r="E38" s="150">
        <v>326896.08448000002</v>
      </c>
      <c r="F38" s="151">
        <v>40786.08448000002</v>
      </c>
    </row>
    <row r="39" spans="2:6" ht="15" x14ac:dyDescent="0.3">
      <c r="B39" s="148" t="s">
        <v>724</v>
      </c>
      <c r="C39" s="149">
        <v>450</v>
      </c>
      <c r="D39" s="150">
        <v>328185</v>
      </c>
      <c r="E39" s="150">
        <v>368693.20800000004</v>
      </c>
      <c r="F39" s="151">
        <v>40508.208000000042</v>
      </c>
    </row>
    <row r="40" spans="2:6" ht="15" x14ac:dyDescent="0.3">
      <c r="B40" s="148" t="s">
        <v>725</v>
      </c>
      <c r="C40" s="149">
        <v>320</v>
      </c>
      <c r="D40" s="150">
        <v>233376</v>
      </c>
      <c r="E40" s="150">
        <v>263996.51199999999</v>
      </c>
      <c r="F40" s="151">
        <v>30620.511999999988</v>
      </c>
    </row>
    <row r="41" spans="2:6" ht="15" x14ac:dyDescent="0.3">
      <c r="B41" s="148" t="s">
        <v>725</v>
      </c>
      <c r="C41" s="149">
        <v>450</v>
      </c>
      <c r="D41" s="150">
        <v>311355</v>
      </c>
      <c r="E41" s="150">
        <v>360234.02699999994</v>
      </c>
      <c r="F41" s="151">
        <v>48879.026999999944</v>
      </c>
    </row>
    <row r="42" spans="2:6" ht="15.6" thickBot="1" x14ac:dyDescent="0.35">
      <c r="B42" s="152" t="s">
        <v>725</v>
      </c>
      <c r="C42" s="153">
        <v>450</v>
      </c>
      <c r="D42" s="154">
        <v>336600</v>
      </c>
      <c r="E42" s="154">
        <v>384589.67399999994</v>
      </c>
      <c r="F42" s="155">
        <v>47989.673999999941</v>
      </c>
    </row>
  </sheetData>
  <sortState xmlns:xlrd2="http://schemas.microsoft.com/office/spreadsheetml/2017/richdata2" ref="B9:F42">
    <sortCondition ref="B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A7F4-C87E-4F3F-9AE8-2A4241CF60D8}">
  <dimension ref="H3:H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16384" width="9.109375" style="1"/>
  </cols>
  <sheetData>
    <row r="3" spans="8:8" ht="18" x14ac:dyDescent="0.35">
      <c r="H3" s="2" t="s">
        <v>9</v>
      </c>
    </row>
    <row r="4" spans="8:8" ht="18" x14ac:dyDescent="0.35">
      <c r="H4" s="3" t="s">
        <v>710</v>
      </c>
    </row>
    <row r="5" spans="8:8" ht="18" x14ac:dyDescent="0.35">
      <c r="H5" s="144" t="s">
        <v>734</v>
      </c>
    </row>
    <row r="6" spans="8:8" ht="18" x14ac:dyDescent="0.35">
      <c r="H6" s="143" t="s">
        <v>711</v>
      </c>
    </row>
    <row r="7" spans="8:8" ht="18" x14ac:dyDescent="0.35">
      <c r="H7" s="143" t="s">
        <v>709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BFC8-F85C-4E02-9A29-5BBBC33B1165}">
  <sheetPr>
    <tabColor rgb="FF008000"/>
  </sheetPr>
  <dimension ref="B1:D1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24.6640625" style="1" bestFit="1" customWidth="1"/>
    <col min="3" max="3" width="15.5546875" style="1" customWidth="1"/>
    <col min="4" max="4" width="24" style="1" bestFit="1" customWidth="1"/>
    <col min="5" max="16384" width="9.109375" style="1"/>
  </cols>
  <sheetData>
    <row r="1" spans="2:4" ht="15" thickBot="1" x14ac:dyDescent="0.35"/>
    <row r="2" spans="2:4" ht="32.4" x14ac:dyDescent="0.3">
      <c r="B2" s="164" t="s">
        <v>23</v>
      </c>
      <c r="C2" s="165" t="s">
        <v>25</v>
      </c>
      <c r="D2" s="166" t="s">
        <v>708</v>
      </c>
    </row>
    <row r="3" spans="2:4" ht="15.6" x14ac:dyDescent="0.3">
      <c r="B3" s="167" t="s">
        <v>704</v>
      </c>
      <c r="C3" s="168">
        <v>30</v>
      </c>
      <c r="D3" s="169">
        <v>6</v>
      </c>
    </row>
    <row r="4" spans="2:4" ht="15.6" x14ac:dyDescent="0.3">
      <c r="B4" s="167" t="s">
        <v>705</v>
      </c>
      <c r="C4" s="168">
        <v>17</v>
      </c>
      <c r="D4" s="169">
        <v>4</v>
      </c>
    </row>
    <row r="5" spans="2:4" ht="15.6" x14ac:dyDescent="0.3">
      <c r="B5" s="167" t="s">
        <v>695</v>
      </c>
      <c r="C5" s="168">
        <v>12</v>
      </c>
      <c r="D5" s="169">
        <v>3</v>
      </c>
    </row>
    <row r="6" spans="2:4" ht="15.6" x14ac:dyDescent="0.3">
      <c r="B6" s="167" t="s">
        <v>696</v>
      </c>
      <c r="C6" s="168">
        <v>18</v>
      </c>
      <c r="D6" s="169">
        <v>4</v>
      </c>
    </row>
    <row r="7" spans="2:4" ht="15.6" x14ac:dyDescent="0.3">
      <c r="B7" s="167" t="s">
        <v>697</v>
      </c>
      <c r="C7" s="168">
        <v>14</v>
      </c>
      <c r="D7" s="169">
        <v>3</v>
      </c>
    </row>
    <row r="8" spans="2:4" ht="15.6" x14ac:dyDescent="0.3">
      <c r="B8" s="167" t="s">
        <v>706</v>
      </c>
      <c r="C8" s="168">
        <v>5</v>
      </c>
      <c r="D8" s="169">
        <v>1</v>
      </c>
    </row>
    <row r="9" spans="2:4" ht="15.6" x14ac:dyDescent="0.3">
      <c r="B9" s="167" t="s">
        <v>700</v>
      </c>
      <c r="C9" s="168">
        <v>5</v>
      </c>
      <c r="D9" s="169">
        <v>1</v>
      </c>
    </row>
    <row r="10" spans="2:4" ht="15.6" x14ac:dyDescent="0.3">
      <c r="B10" s="167" t="s">
        <v>698</v>
      </c>
      <c r="C10" s="168">
        <v>20</v>
      </c>
      <c r="D10" s="169">
        <v>4</v>
      </c>
    </row>
    <row r="11" spans="2:4" ht="15.6" x14ac:dyDescent="0.3">
      <c r="B11" s="167" t="s">
        <v>310</v>
      </c>
      <c r="C11" s="168">
        <v>10</v>
      </c>
      <c r="D11" s="169">
        <v>2</v>
      </c>
    </row>
    <row r="12" spans="2:4" ht="15.6" x14ac:dyDescent="0.3">
      <c r="B12" s="167" t="s">
        <v>702</v>
      </c>
      <c r="C12" s="168">
        <v>35</v>
      </c>
      <c r="D12" s="169">
        <v>7</v>
      </c>
    </row>
    <row r="13" spans="2:4" ht="15.6" x14ac:dyDescent="0.3">
      <c r="B13" s="167" t="s">
        <v>703</v>
      </c>
      <c r="C13" s="168">
        <v>15</v>
      </c>
      <c r="D13" s="169">
        <v>3</v>
      </c>
    </row>
    <row r="14" spans="2:4" ht="15.6" x14ac:dyDescent="0.3">
      <c r="B14" s="167" t="s">
        <v>701</v>
      </c>
      <c r="C14" s="168">
        <v>45</v>
      </c>
      <c r="D14" s="169">
        <v>9</v>
      </c>
    </row>
    <row r="15" spans="2:4" ht="15.6" x14ac:dyDescent="0.3">
      <c r="B15" s="167" t="s">
        <v>694</v>
      </c>
      <c r="C15" s="168">
        <v>40</v>
      </c>
      <c r="D15" s="169">
        <v>8</v>
      </c>
    </row>
    <row r="16" spans="2:4" ht="15.6" x14ac:dyDescent="0.3">
      <c r="B16" s="167" t="s">
        <v>707</v>
      </c>
      <c r="C16" s="168">
        <v>38</v>
      </c>
      <c r="D16" s="169">
        <v>8</v>
      </c>
    </row>
    <row r="17" spans="2:4" ht="16.2" thickBot="1" x14ac:dyDescent="0.35">
      <c r="B17" s="170" t="s">
        <v>699</v>
      </c>
      <c r="C17" s="171">
        <v>15</v>
      </c>
      <c r="D17" s="172">
        <v>3</v>
      </c>
    </row>
  </sheetData>
  <sortState xmlns:xlrd2="http://schemas.microsoft.com/office/spreadsheetml/2017/richdata2" ref="B3:D17">
    <sortCondition ref="B2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0430-36E4-4DDB-989B-1F118B0056B9}">
  <sheetPr>
    <tabColor rgb="FF008000"/>
  </sheetPr>
  <dimension ref="B1:D1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24.6640625" style="1" bestFit="1" customWidth="1"/>
    <col min="3" max="3" width="15.5546875" style="1" customWidth="1"/>
    <col min="4" max="4" width="24" style="1" bestFit="1" customWidth="1"/>
    <col min="5" max="16384" width="9.109375" style="1"/>
  </cols>
  <sheetData>
    <row r="1" spans="2:4" ht="15" thickBot="1" x14ac:dyDescent="0.35"/>
    <row r="2" spans="2:4" ht="32.4" x14ac:dyDescent="0.3">
      <c r="B2" s="164" t="s">
        <v>23</v>
      </c>
      <c r="C2" s="165" t="s">
        <v>25</v>
      </c>
      <c r="D2" s="166" t="s">
        <v>708</v>
      </c>
    </row>
    <row r="3" spans="2:4" ht="15.6" x14ac:dyDescent="0.3">
      <c r="B3" s="167" t="s">
        <v>704</v>
      </c>
      <c r="C3" s="168">
        <v>40</v>
      </c>
      <c r="D3" s="169">
        <v>8</v>
      </c>
    </row>
    <row r="4" spans="2:4" ht="15.6" x14ac:dyDescent="0.3">
      <c r="B4" s="167" t="s">
        <v>705</v>
      </c>
      <c r="C4" s="168">
        <v>18</v>
      </c>
      <c r="D4" s="169">
        <v>4</v>
      </c>
    </row>
    <row r="5" spans="2:4" ht="15.6" x14ac:dyDescent="0.3">
      <c r="B5" s="167" t="s">
        <v>695</v>
      </c>
      <c r="C5" s="168">
        <v>28</v>
      </c>
      <c r="D5" s="169">
        <v>6</v>
      </c>
    </row>
    <row r="6" spans="2:4" ht="15.6" x14ac:dyDescent="0.3">
      <c r="B6" s="167" t="s">
        <v>696</v>
      </c>
      <c r="C6" s="168">
        <v>16</v>
      </c>
      <c r="D6" s="169">
        <v>4</v>
      </c>
    </row>
    <row r="7" spans="2:4" ht="15.6" x14ac:dyDescent="0.3">
      <c r="B7" s="167" t="s">
        <v>697</v>
      </c>
      <c r="C7" s="168">
        <v>14</v>
      </c>
      <c r="D7" s="169">
        <v>3</v>
      </c>
    </row>
    <row r="8" spans="2:4" ht="15.6" x14ac:dyDescent="0.3">
      <c r="B8" s="167" t="s">
        <v>706</v>
      </c>
      <c r="C8" s="168">
        <v>18</v>
      </c>
      <c r="D8" s="169">
        <v>4</v>
      </c>
    </row>
    <row r="9" spans="2:4" ht="15.6" x14ac:dyDescent="0.3">
      <c r="B9" s="167" t="s">
        <v>700</v>
      </c>
      <c r="C9" s="168">
        <v>20</v>
      </c>
      <c r="D9" s="169">
        <v>4</v>
      </c>
    </row>
    <row r="10" spans="2:4" ht="15.6" x14ac:dyDescent="0.3">
      <c r="B10" s="167" t="s">
        <v>698</v>
      </c>
      <c r="C10" s="168">
        <v>22</v>
      </c>
      <c r="D10" s="169">
        <v>5</v>
      </c>
    </row>
    <row r="11" spans="2:4" ht="15.6" x14ac:dyDescent="0.3">
      <c r="B11" s="167" t="s">
        <v>310</v>
      </c>
      <c r="C11" s="168">
        <v>5</v>
      </c>
      <c r="D11" s="169">
        <v>1</v>
      </c>
    </row>
    <row r="12" spans="2:4" ht="15.6" x14ac:dyDescent="0.3">
      <c r="B12" s="167" t="s">
        <v>702</v>
      </c>
      <c r="C12" s="168">
        <v>30</v>
      </c>
      <c r="D12" s="169">
        <v>6</v>
      </c>
    </row>
    <row r="13" spans="2:4" ht="15.6" x14ac:dyDescent="0.3">
      <c r="B13" s="167" t="s">
        <v>703</v>
      </c>
      <c r="C13" s="168">
        <v>25</v>
      </c>
      <c r="D13" s="169">
        <v>5</v>
      </c>
    </row>
    <row r="14" spans="2:4" ht="15.6" x14ac:dyDescent="0.3">
      <c r="B14" s="167" t="s">
        <v>701</v>
      </c>
      <c r="C14" s="168">
        <v>25</v>
      </c>
      <c r="D14" s="169">
        <v>5</v>
      </c>
    </row>
    <row r="15" spans="2:4" ht="15.6" x14ac:dyDescent="0.3">
      <c r="B15" s="167" t="s">
        <v>694</v>
      </c>
      <c r="C15" s="168">
        <v>50</v>
      </c>
      <c r="D15" s="169">
        <v>10</v>
      </c>
    </row>
    <row r="16" spans="2:4" ht="15.6" x14ac:dyDescent="0.3">
      <c r="B16" s="167" t="s">
        <v>707</v>
      </c>
      <c r="C16" s="168">
        <v>16</v>
      </c>
      <c r="D16" s="169">
        <v>4</v>
      </c>
    </row>
    <row r="17" spans="2:4" ht="16.2" thickBot="1" x14ac:dyDescent="0.35">
      <c r="B17" s="170" t="s">
        <v>699</v>
      </c>
      <c r="C17" s="171">
        <v>12</v>
      </c>
      <c r="D17" s="172">
        <v>3</v>
      </c>
    </row>
  </sheetData>
  <sortState xmlns:xlrd2="http://schemas.microsoft.com/office/spreadsheetml/2017/richdata2" ref="B3:D17">
    <sortCondition ref="B2"/>
  </sortState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F8B9-7196-4643-A683-18A2F70AB00A}">
  <sheetPr>
    <tabColor rgb="FF008000"/>
  </sheetPr>
  <dimension ref="B1:D1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24.6640625" style="1" bestFit="1" customWidth="1"/>
    <col min="3" max="3" width="15.5546875" style="1" customWidth="1"/>
    <col min="4" max="4" width="24" style="1" bestFit="1" customWidth="1"/>
    <col min="5" max="16384" width="9.109375" style="1"/>
  </cols>
  <sheetData>
    <row r="1" spans="2:4" ht="15" thickBot="1" x14ac:dyDescent="0.35"/>
    <row r="2" spans="2:4" ht="32.4" x14ac:dyDescent="0.3">
      <c r="B2" s="164" t="s">
        <v>23</v>
      </c>
      <c r="C2" s="165" t="s">
        <v>25</v>
      </c>
      <c r="D2" s="166" t="s">
        <v>708</v>
      </c>
    </row>
    <row r="3" spans="2:4" ht="15.6" x14ac:dyDescent="0.3">
      <c r="B3" s="167" t="s">
        <v>704</v>
      </c>
      <c r="C3" s="168">
        <v>45</v>
      </c>
      <c r="D3" s="169">
        <v>9</v>
      </c>
    </row>
    <row r="4" spans="2:4" ht="15.6" x14ac:dyDescent="0.3">
      <c r="B4" s="167" t="s">
        <v>705</v>
      </c>
      <c r="C4" s="168">
        <v>20</v>
      </c>
      <c r="D4" s="169">
        <v>4</v>
      </c>
    </row>
    <row r="5" spans="2:4" ht="15.6" x14ac:dyDescent="0.3">
      <c r="B5" s="167" t="s">
        <v>695</v>
      </c>
      <c r="C5" s="168">
        <v>18</v>
      </c>
      <c r="D5" s="169">
        <v>4</v>
      </c>
    </row>
    <row r="6" spans="2:4" ht="15.6" x14ac:dyDescent="0.3">
      <c r="B6" s="167" t="s">
        <v>696</v>
      </c>
      <c r="C6" s="168">
        <v>25</v>
      </c>
      <c r="D6" s="169">
        <v>5</v>
      </c>
    </row>
    <row r="7" spans="2:4" ht="15.6" x14ac:dyDescent="0.3">
      <c r="B7" s="167" t="s">
        <v>697</v>
      </c>
      <c r="C7" s="168">
        <v>10</v>
      </c>
      <c r="D7" s="169">
        <v>2</v>
      </c>
    </row>
    <row r="8" spans="2:4" ht="15.6" x14ac:dyDescent="0.3">
      <c r="B8" s="167" t="s">
        <v>706</v>
      </c>
      <c r="C8" s="168">
        <v>20</v>
      </c>
      <c r="D8" s="169">
        <v>4</v>
      </c>
    </row>
    <row r="9" spans="2:4" ht="15.6" x14ac:dyDescent="0.3">
      <c r="B9" s="167" t="s">
        <v>700</v>
      </c>
      <c r="C9" s="168">
        <v>12</v>
      </c>
      <c r="D9" s="169">
        <v>3</v>
      </c>
    </row>
    <row r="10" spans="2:4" ht="15.6" x14ac:dyDescent="0.3">
      <c r="B10" s="167" t="s">
        <v>698</v>
      </c>
      <c r="C10" s="168">
        <v>28</v>
      </c>
      <c r="D10" s="169">
        <v>6</v>
      </c>
    </row>
    <row r="11" spans="2:4" ht="15.6" x14ac:dyDescent="0.3">
      <c r="B11" s="167" t="s">
        <v>310</v>
      </c>
      <c r="C11" s="168">
        <v>30</v>
      </c>
      <c r="D11" s="169">
        <v>6</v>
      </c>
    </row>
    <row r="12" spans="2:4" ht="15.6" x14ac:dyDescent="0.3">
      <c r="B12" s="167" t="s">
        <v>702</v>
      </c>
      <c r="C12" s="168">
        <v>6</v>
      </c>
      <c r="D12" s="169">
        <v>2</v>
      </c>
    </row>
    <row r="13" spans="2:4" ht="15.6" x14ac:dyDescent="0.3">
      <c r="B13" s="167" t="s">
        <v>703</v>
      </c>
      <c r="C13" s="168">
        <v>5</v>
      </c>
      <c r="D13" s="169">
        <v>1</v>
      </c>
    </row>
    <row r="14" spans="2:4" ht="15.6" x14ac:dyDescent="0.3">
      <c r="B14" s="167" t="s">
        <v>701</v>
      </c>
      <c r="C14" s="168">
        <v>60</v>
      </c>
      <c r="D14" s="169">
        <v>12</v>
      </c>
    </row>
    <row r="15" spans="2:4" ht="15.6" x14ac:dyDescent="0.3">
      <c r="B15" s="167" t="s">
        <v>694</v>
      </c>
      <c r="C15" s="168">
        <v>50</v>
      </c>
      <c r="D15" s="169">
        <v>10</v>
      </c>
    </row>
    <row r="16" spans="2:4" ht="15.6" x14ac:dyDescent="0.3">
      <c r="B16" s="167" t="s">
        <v>707</v>
      </c>
      <c r="C16" s="168">
        <v>10</v>
      </c>
      <c r="D16" s="169">
        <v>2</v>
      </c>
    </row>
    <row r="17" spans="2:4" ht="16.2" thickBot="1" x14ac:dyDescent="0.35">
      <c r="B17" s="170" t="s">
        <v>699</v>
      </c>
      <c r="C17" s="171">
        <v>10</v>
      </c>
      <c r="D17" s="172">
        <v>2</v>
      </c>
    </row>
  </sheetData>
  <sortState xmlns:xlrd2="http://schemas.microsoft.com/office/spreadsheetml/2017/richdata2" ref="B3:D17">
    <sortCondition ref="B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4E50-BC05-49FA-A969-F5988E6CE89D}">
  <sheetPr>
    <tabColor rgb="FF008000"/>
  </sheetPr>
  <dimension ref="B1:D1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24.6640625" style="1" bestFit="1" customWidth="1"/>
    <col min="3" max="3" width="15.5546875" style="1" customWidth="1"/>
    <col min="4" max="4" width="24" style="1" bestFit="1" customWidth="1"/>
    <col min="5" max="16384" width="9.109375" style="1"/>
  </cols>
  <sheetData>
    <row r="1" spans="2:4" ht="15" thickBot="1" x14ac:dyDescent="0.35"/>
    <row r="2" spans="2:4" ht="32.4" x14ac:dyDescent="0.3">
      <c r="B2" s="164" t="s">
        <v>23</v>
      </c>
      <c r="C2" s="165" t="s">
        <v>25</v>
      </c>
      <c r="D2" s="166" t="s">
        <v>708</v>
      </c>
    </row>
    <row r="3" spans="2:4" ht="15.6" x14ac:dyDescent="0.3">
      <c r="B3" s="167" t="s">
        <v>704</v>
      </c>
      <c r="C3" s="168">
        <v>10</v>
      </c>
      <c r="D3" s="169">
        <v>50</v>
      </c>
    </row>
    <row r="4" spans="2:4" ht="15.6" x14ac:dyDescent="0.3">
      <c r="B4" s="167" t="s">
        <v>705</v>
      </c>
      <c r="C4" s="168">
        <v>2</v>
      </c>
      <c r="D4" s="169">
        <v>10</v>
      </c>
    </row>
    <row r="5" spans="2:4" ht="15.6" x14ac:dyDescent="0.3">
      <c r="B5" s="167" t="s">
        <v>695</v>
      </c>
      <c r="C5" s="168">
        <v>14</v>
      </c>
      <c r="D5" s="169">
        <v>70</v>
      </c>
    </row>
    <row r="6" spans="2:4" ht="15.6" x14ac:dyDescent="0.3">
      <c r="B6" s="167" t="s">
        <v>696</v>
      </c>
      <c r="C6" s="168">
        <v>2</v>
      </c>
      <c r="D6" s="169">
        <v>10</v>
      </c>
    </row>
    <row r="7" spans="2:4" ht="15.6" x14ac:dyDescent="0.3">
      <c r="B7" s="167" t="s">
        <v>697</v>
      </c>
      <c r="C7" s="168">
        <v>8</v>
      </c>
      <c r="D7" s="169">
        <v>40</v>
      </c>
    </row>
    <row r="8" spans="2:4" ht="15.6" x14ac:dyDescent="0.3">
      <c r="B8" s="167" t="s">
        <v>706</v>
      </c>
      <c r="C8" s="168">
        <v>2</v>
      </c>
      <c r="D8" s="169">
        <v>10</v>
      </c>
    </row>
    <row r="9" spans="2:4" ht="15.6" x14ac:dyDescent="0.3">
      <c r="B9" s="167" t="s">
        <v>700</v>
      </c>
      <c r="C9" s="168">
        <v>5</v>
      </c>
      <c r="D9" s="169">
        <v>22</v>
      </c>
    </row>
    <row r="10" spans="2:4" ht="15.6" x14ac:dyDescent="0.3">
      <c r="B10" s="167" t="s">
        <v>698</v>
      </c>
      <c r="C10" s="168">
        <v>4</v>
      </c>
      <c r="D10" s="169">
        <v>20</v>
      </c>
    </row>
    <row r="11" spans="2:4" ht="15.6" x14ac:dyDescent="0.3">
      <c r="B11" s="167" t="s">
        <v>310</v>
      </c>
      <c r="C11" s="168">
        <v>6</v>
      </c>
      <c r="D11" s="169">
        <v>30</v>
      </c>
    </row>
    <row r="12" spans="2:4" ht="15.6" x14ac:dyDescent="0.3">
      <c r="B12" s="167" t="s">
        <v>702</v>
      </c>
      <c r="C12" s="168">
        <v>3</v>
      </c>
      <c r="D12" s="169">
        <v>15</v>
      </c>
    </row>
    <row r="13" spans="2:4" ht="15.6" x14ac:dyDescent="0.3">
      <c r="B13" s="167" t="s">
        <v>703</v>
      </c>
      <c r="C13" s="168">
        <v>8</v>
      </c>
      <c r="D13" s="169">
        <v>40</v>
      </c>
    </row>
    <row r="14" spans="2:4" ht="15.6" x14ac:dyDescent="0.3">
      <c r="B14" s="167" t="s">
        <v>701</v>
      </c>
      <c r="C14" s="168">
        <v>20</v>
      </c>
      <c r="D14" s="169">
        <v>100</v>
      </c>
    </row>
    <row r="15" spans="2:4" ht="15.6" x14ac:dyDescent="0.3">
      <c r="B15" s="167" t="s">
        <v>694</v>
      </c>
      <c r="C15" s="168">
        <v>16</v>
      </c>
      <c r="D15" s="169">
        <v>80</v>
      </c>
    </row>
    <row r="16" spans="2:4" ht="15.6" x14ac:dyDescent="0.3">
      <c r="B16" s="167" t="s">
        <v>707</v>
      </c>
      <c r="C16" s="168">
        <v>2</v>
      </c>
      <c r="D16" s="169">
        <v>8</v>
      </c>
    </row>
    <row r="17" spans="2:4" ht="16.2" thickBot="1" x14ac:dyDescent="0.35">
      <c r="B17" s="170" t="s">
        <v>699</v>
      </c>
      <c r="C17" s="171">
        <v>6</v>
      </c>
      <c r="D17" s="172">
        <v>30</v>
      </c>
    </row>
  </sheetData>
  <sortState xmlns:xlrd2="http://schemas.microsoft.com/office/spreadsheetml/2017/richdata2" ref="B3:D17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5330-B779-4C1B-AF9B-266F15F1BF36}">
  <dimension ref="B2:P36"/>
  <sheetViews>
    <sheetView workbookViewId="0"/>
  </sheetViews>
  <sheetFormatPr defaultColWidth="9.109375" defaultRowHeight="14.4" x14ac:dyDescent="0.3"/>
  <cols>
    <col min="1" max="1" width="3.6640625" style="54" customWidth="1"/>
    <col min="2" max="2" width="20.6640625" style="54" customWidth="1"/>
    <col min="3" max="3" width="18.88671875" style="54" bestFit="1" customWidth="1"/>
    <col min="4" max="4" width="16.109375" style="54" customWidth="1"/>
    <col min="5" max="5" width="12.6640625" style="54" bestFit="1" customWidth="1"/>
    <col min="6" max="6" width="18.88671875" style="54" customWidth="1"/>
    <col min="7" max="7" width="13.88671875" style="54" customWidth="1"/>
    <col min="8" max="8" width="14.88671875" style="54" customWidth="1"/>
    <col min="9" max="9" width="14.33203125" style="54" customWidth="1"/>
    <col min="10" max="16384" width="9.109375" style="54"/>
  </cols>
  <sheetData>
    <row r="2" spans="2:16" ht="32.4" x14ac:dyDescent="0.35">
      <c r="B2" s="157" t="s">
        <v>23</v>
      </c>
      <c r="C2" s="157" t="s">
        <v>24</v>
      </c>
      <c r="D2" s="157" t="s">
        <v>25</v>
      </c>
      <c r="E2" s="157" t="s">
        <v>26</v>
      </c>
      <c r="F2" s="157" t="s">
        <v>27</v>
      </c>
      <c r="G2" s="157" t="s">
        <v>690</v>
      </c>
      <c r="H2" s="157" t="s">
        <v>29</v>
      </c>
      <c r="I2" s="157" t="s">
        <v>28</v>
      </c>
      <c r="K2" s="55" t="s">
        <v>9</v>
      </c>
    </row>
    <row r="3" spans="2:16" ht="18" x14ac:dyDescent="0.35">
      <c r="B3" s="64" t="s">
        <v>53</v>
      </c>
      <c r="C3" s="64" t="s">
        <v>47</v>
      </c>
      <c r="D3" s="64">
        <v>25</v>
      </c>
      <c r="E3" s="65">
        <v>163625</v>
      </c>
      <c r="F3" s="66" t="str">
        <f ca="1">"Жовтень "&amp;YEAR(TODAY())</f>
        <v>Жовтень 2022</v>
      </c>
      <c r="G3" s="65">
        <v>189299.47500000003</v>
      </c>
      <c r="H3" s="67" t="s">
        <v>30</v>
      </c>
      <c r="I3" s="65">
        <v>25674.475000000035</v>
      </c>
      <c r="K3" s="56" t="s">
        <v>10</v>
      </c>
    </row>
    <row r="4" spans="2:16" ht="18" x14ac:dyDescent="0.35">
      <c r="B4" s="64" t="s">
        <v>53</v>
      </c>
      <c r="C4" s="64" t="s">
        <v>31</v>
      </c>
      <c r="D4" s="64">
        <v>56</v>
      </c>
      <c r="E4" s="65">
        <v>366520</v>
      </c>
      <c r="F4" s="66" t="str">
        <f t="shared" ref="F4:F36" ca="1" si="0">"Жовтень "&amp;YEAR(TODAY())</f>
        <v>Жовтень 2022</v>
      </c>
      <c r="G4" s="65">
        <v>424740.90623999998</v>
      </c>
      <c r="H4" s="67" t="s">
        <v>32</v>
      </c>
      <c r="I4" s="65">
        <v>58220.906239999982</v>
      </c>
      <c r="K4" s="57" t="s">
        <v>44</v>
      </c>
    </row>
    <row r="5" spans="2:16" ht="15" x14ac:dyDescent="0.3">
      <c r="B5" s="64" t="s">
        <v>53</v>
      </c>
      <c r="C5" s="64" t="s">
        <v>48</v>
      </c>
      <c r="D5" s="64">
        <v>45</v>
      </c>
      <c r="E5" s="65">
        <v>336600</v>
      </c>
      <c r="F5" s="66" t="str">
        <f t="shared" ca="1" si="0"/>
        <v>Жовтень 2022</v>
      </c>
      <c r="G5" s="65">
        <v>380568.94200000004</v>
      </c>
      <c r="H5" s="67" t="s">
        <v>30</v>
      </c>
      <c r="I5" s="65">
        <v>43968.942000000039</v>
      </c>
    </row>
    <row r="6" spans="2:16" ht="18" x14ac:dyDescent="0.35">
      <c r="B6" s="64" t="s">
        <v>53</v>
      </c>
      <c r="C6" s="64" t="s">
        <v>33</v>
      </c>
      <c r="D6" s="64">
        <v>67</v>
      </c>
      <c r="E6" s="65">
        <v>451044</v>
      </c>
      <c r="F6" s="66" t="str">
        <f t="shared" ca="1" si="0"/>
        <v>Жовтень 2022</v>
      </c>
      <c r="G6" s="65">
        <v>524019.61743999994</v>
      </c>
      <c r="H6" s="67" t="s">
        <v>30</v>
      </c>
      <c r="I6" s="65">
        <v>72975.617439999944</v>
      </c>
      <c r="K6" s="56" t="s">
        <v>46</v>
      </c>
    </row>
    <row r="7" spans="2:16" ht="18" x14ac:dyDescent="0.35">
      <c r="B7" s="64" t="s">
        <v>53</v>
      </c>
      <c r="C7" s="64" t="s">
        <v>50</v>
      </c>
      <c r="D7" s="64">
        <v>54</v>
      </c>
      <c r="E7" s="65">
        <v>383724</v>
      </c>
      <c r="F7" s="66" t="str">
        <f t="shared" ca="1" si="0"/>
        <v>Жовтень 2022</v>
      </c>
      <c r="G7" s="65">
        <v>449474.46911999991</v>
      </c>
      <c r="H7" s="67" t="s">
        <v>34</v>
      </c>
      <c r="I7" s="65">
        <v>65750.469119999907</v>
      </c>
      <c r="K7" s="57" t="s">
        <v>45</v>
      </c>
    </row>
    <row r="8" spans="2:16" ht="18" x14ac:dyDescent="0.35">
      <c r="B8" s="64" t="s">
        <v>63</v>
      </c>
      <c r="C8" s="64" t="s">
        <v>51</v>
      </c>
      <c r="D8" s="64">
        <v>34</v>
      </c>
      <c r="E8" s="65">
        <v>203456</v>
      </c>
      <c r="F8" s="66" t="str">
        <f t="shared" ca="1" si="0"/>
        <v>Жовтень 2022</v>
      </c>
      <c r="G8" s="65">
        <v>241228.85488</v>
      </c>
      <c r="H8" s="67" t="s">
        <v>35</v>
      </c>
      <c r="I8" s="65">
        <v>37772.854879999999</v>
      </c>
      <c r="K8" s="57" t="s">
        <v>61</v>
      </c>
    </row>
    <row r="9" spans="2:16" ht="15" x14ac:dyDescent="0.3">
      <c r="B9" s="64" t="s">
        <v>63</v>
      </c>
      <c r="C9" s="64" t="s">
        <v>36</v>
      </c>
      <c r="D9" s="64">
        <v>54</v>
      </c>
      <c r="E9" s="65">
        <v>282744</v>
      </c>
      <c r="F9" s="66" t="str">
        <f t="shared" ca="1" si="0"/>
        <v>Жовтень 2022</v>
      </c>
      <c r="G9" s="65">
        <v>335419.75745999994</v>
      </c>
      <c r="H9" s="67" t="s">
        <v>30</v>
      </c>
      <c r="I9" s="65">
        <v>52675.757459999935</v>
      </c>
    </row>
    <row r="10" spans="2:16" ht="18" x14ac:dyDescent="0.35">
      <c r="B10" s="64" t="s">
        <v>63</v>
      </c>
      <c r="C10" s="64" t="s">
        <v>51</v>
      </c>
      <c r="D10" s="64">
        <v>25</v>
      </c>
      <c r="E10" s="65">
        <v>135575</v>
      </c>
      <c r="F10" s="66" t="str">
        <f t="shared" ca="1" si="0"/>
        <v>Жовтень 2022</v>
      </c>
      <c r="G10" s="65">
        <v>160093.10999999999</v>
      </c>
      <c r="H10" s="67" t="s">
        <v>37</v>
      </c>
      <c r="I10" s="65">
        <v>24518.11</v>
      </c>
      <c r="K10" s="56" t="s">
        <v>738</v>
      </c>
    </row>
    <row r="11" spans="2:16" ht="18" x14ac:dyDescent="0.35">
      <c r="B11" s="64" t="s">
        <v>63</v>
      </c>
      <c r="C11" s="64" t="s">
        <v>47</v>
      </c>
      <c r="D11" s="64">
        <v>34</v>
      </c>
      <c r="E11" s="65">
        <v>190740</v>
      </c>
      <c r="F11" s="66" t="str">
        <f t="shared" ca="1" si="0"/>
        <v>Жовтень 2022</v>
      </c>
      <c r="G11" s="65">
        <v>217945.39648000002</v>
      </c>
      <c r="H11" s="67" t="s">
        <v>32</v>
      </c>
      <c r="I11" s="65">
        <v>27205.396480000025</v>
      </c>
      <c r="K11" s="175" t="s">
        <v>739</v>
      </c>
    </row>
    <row r="12" spans="2:16" ht="18" x14ac:dyDescent="0.35">
      <c r="B12" s="64" t="s">
        <v>63</v>
      </c>
      <c r="C12" s="64" t="s">
        <v>36</v>
      </c>
      <c r="D12" s="64">
        <v>36</v>
      </c>
      <c r="E12" s="65">
        <v>228888</v>
      </c>
      <c r="F12" s="66" t="str">
        <f t="shared" ca="1" si="0"/>
        <v>Жовтень 2022</v>
      </c>
      <c r="G12" s="65">
        <v>265227.17543999996</v>
      </c>
      <c r="H12" s="67" t="s">
        <v>38</v>
      </c>
      <c r="I12" s="65">
        <v>36339.175439999963</v>
      </c>
      <c r="K12" s="176" t="s">
        <v>59</v>
      </c>
      <c r="L12" s="177"/>
    </row>
    <row r="13" spans="2:16" ht="18" x14ac:dyDescent="0.35">
      <c r="B13" s="64" t="s">
        <v>63</v>
      </c>
      <c r="C13" s="64" t="s">
        <v>31</v>
      </c>
      <c r="D13" s="64">
        <v>43</v>
      </c>
      <c r="E13" s="65">
        <v>249271</v>
      </c>
      <c r="F13" s="66" t="str">
        <f t="shared" ca="1" si="0"/>
        <v>Жовтень 2022</v>
      </c>
      <c r="G13" s="65">
        <v>294357.39095999999</v>
      </c>
      <c r="H13" s="67" t="s">
        <v>38</v>
      </c>
      <c r="I13" s="65">
        <v>45086.39095999999</v>
      </c>
      <c r="K13" s="176" t="s">
        <v>60</v>
      </c>
      <c r="L13" s="178"/>
      <c r="M13" s="173"/>
      <c r="N13" s="173"/>
      <c r="O13" s="173"/>
      <c r="P13" s="173"/>
    </row>
    <row r="14" spans="2:16" ht="15" x14ac:dyDescent="0.3">
      <c r="B14" s="64" t="s">
        <v>63</v>
      </c>
      <c r="C14" s="64" t="s">
        <v>33</v>
      </c>
      <c r="D14" s="64">
        <v>34</v>
      </c>
      <c r="E14" s="65">
        <v>190740</v>
      </c>
      <c r="F14" s="66" t="str">
        <f t="shared" ca="1" si="0"/>
        <v>Жовтень 2022</v>
      </c>
      <c r="G14" s="65">
        <v>220681.46351999999</v>
      </c>
      <c r="H14" s="67" t="s">
        <v>34</v>
      </c>
      <c r="I14" s="65">
        <v>29941.46351999999</v>
      </c>
    </row>
    <row r="15" spans="2:16" ht="18" x14ac:dyDescent="0.35">
      <c r="B15" s="64" t="s">
        <v>39</v>
      </c>
      <c r="C15" s="64" t="s">
        <v>33</v>
      </c>
      <c r="D15" s="64">
        <v>76</v>
      </c>
      <c r="E15" s="65">
        <v>426360</v>
      </c>
      <c r="F15" s="66" t="str">
        <f t="shared" ca="1" si="0"/>
        <v>Жовтень 2022</v>
      </c>
      <c r="G15" s="65">
        <v>487293.61407999991</v>
      </c>
      <c r="H15" s="67" t="s">
        <v>35</v>
      </c>
      <c r="I15" s="65">
        <v>60933.614079999912</v>
      </c>
      <c r="K15" s="174" t="s">
        <v>736</v>
      </c>
    </row>
    <row r="16" spans="2:16" ht="15" x14ac:dyDescent="0.3">
      <c r="B16" s="64" t="s">
        <v>39</v>
      </c>
      <c r="C16" s="64" t="s">
        <v>48</v>
      </c>
      <c r="D16" s="64">
        <v>67</v>
      </c>
      <c r="E16" s="65">
        <v>338283</v>
      </c>
      <c r="F16" s="66" t="str">
        <f t="shared" ca="1" si="0"/>
        <v>Жовтень 2022</v>
      </c>
      <c r="G16" s="65">
        <v>382809.61712500005</v>
      </c>
      <c r="H16" s="67" t="s">
        <v>30</v>
      </c>
      <c r="I16" s="65">
        <v>44526.617125000048</v>
      </c>
    </row>
    <row r="17" spans="2:11" ht="18" x14ac:dyDescent="0.35">
      <c r="B17" s="64" t="s">
        <v>39</v>
      </c>
      <c r="C17" s="64" t="s">
        <v>49</v>
      </c>
      <c r="D17" s="64">
        <v>34</v>
      </c>
      <c r="E17" s="65">
        <v>286110</v>
      </c>
      <c r="F17" s="66" t="str">
        <f t="shared" ca="1" si="0"/>
        <v>Жовтень 2022</v>
      </c>
      <c r="G17" s="65">
        <v>326896.08448000002</v>
      </c>
      <c r="H17" s="67" t="s">
        <v>35</v>
      </c>
      <c r="I17" s="65">
        <v>40786.08448000002</v>
      </c>
      <c r="K17" s="56" t="s">
        <v>735</v>
      </c>
    </row>
    <row r="18" spans="2:11" ht="18" x14ac:dyDescent="0.35">
      <c r="B18" s="64" t="s">
        <v>39</v>
      </c>
      <c r="C18" s="64" t="s">
        <v>40</v>
      </c>
      <c r="D18" s="64">
        <v>45</v>
      </c>
      <c r="E18" s="65">
        <v>328185</v>
      </c>
      <c r="F18" s="66" t="str">
        <f t="shared" ca="1" si="0"/>
        <v>Жовтень 2022</v>
      </c>
      <c r="G18" s="65">
        <v>368693.20800000004</v>
      </c>
      <c r="H18" s="67" t="s">
        <v>30</v>
      </c>
      <c r="I18" s="65">
        <v>40508.208000000042</v>
      </c>
      <c r="K18" s="56" t="s">
        <v>62</v>
      </c>
    </row>
    <row r="19" spans="2:11" ht="15" x14ac:dyDescent="0.3">
      <c r="B19" s="64" t="s">
        <v>56</v>
      </c>
      <c r="C19" s="64" t="s">
        <v>51</v>
      </c>
      <c r="D19" s="64">
        <v>45</v>
      </c>
      <c r="E19" s="65">
        <v>420750</v>
      </c>
      <c r="F19" s="66" t="str">
        <f t="shared" ca="1" si="0"/>
        <v>Жовтень 2022</v>
      </c>
      <c r="G19" s="65">
        <v>481751.87399999995</v>
      </c>
      <c r="H19" s="67" t="s">
        <v>37</v>
      </c>
      <c r="I19" s="65">
        <v>61001.873999999953</v>
      </c>
    </row>
    <row r="20" spans="2:11" ht="18" x14ac:dyDescent="0.35">
      <c r="B20" s="64" t="s">
        <v>56</v>
      </c>
      <c r="C20" s="64" t="s">
        <v>31</v>
      </c>
      <c r="D20" s="64">
        <v>54</v>
      </c>
      <c r="E20" s="65">
        <v>484704</v>
      </c>
      <c r="F20" s="66" t="str">
        <f t="shared" ca="1" si="0"/>
        <v>Жовтень 2022</v>
      </c>
      <c r="G20" s="65">
        <v>560789.91791999992</v>
      </c>
      <c r="H20" s="67" t="s">
        <v>35</v>
      </c>
      <c r="I20" s="65">
        <v>76085.91791999992</v>
      </c>
      <c r="K20" s="56" t="s">
        <v>737</v>
      </c>
    </row>
    <row r="21" spans="2:11" ht="18" x14ac:dyDescent="0.35">
      <c r="B21" s="64" t="s">
        <v>56</v>
      </c>
      <c r="C21" s="64" t="s">
        <v>52</v>
      </c>
      <c r="D21" s="64">
        <v>65</v>
      </c>
      <c r="E21" s="65">
        <v>559130</v>
      </c>
      <c r="F21" s="66" t="str">
        <f t="shared" ca="1" si="0"/>
        <v>Жовтень 2022</v>
      </c>
      <c r="G21" s="65">
        <v>647930.39512499992</v>
      </c>
      <c r="H21" s="67" t="s">
        <v>32</v>
      </c>
      <c r="I21" s="65">
        <v>88800.395124999923</v>
      </c>
      <c r="K21" s="56" t="s">
        <v>64</v>
      </c>
    </row>
    <row r="22" spans="2:11" ht="15" x14ac:dyDescent="0.3">
      <c r="B22" s="64" t="s">
        <v>56</v>
      </c>
      <c r="C22" s="64" t="s">
        <v>49</v>
      </c>
      <c r="D22" s="64">
        <v>26</v>
      </c>
      <c r="E22" s="65">
        <v>243100</v>
      </c>
      <c r="F22" s="66" t="str">
        <f t="shared" ca="1" si="0"/>
        <v>Жовтень 2022</v>
      </c>
      <c r="G22" s="65">
        <v>276576.19391999999</v>
      </c>
      <c r="H22" s="67" t="s">
        <v>30</v>
      </c>
      <c r="I22" s="65">
        <v>33476.193919999991</v>
      </c>
    </row>
    <row r="23" spans="2:11" ht="15" x14ac:dyDescent="0.3">
      <c r="B23" s="64" t="s">
        <v>56</v>
      </c>
      <c r="C23" s="64" t="s">
        <v>33</v>
      </c>
      <c r="D23" s="64">
        <v>67</v>
      </c>
      <c r="E23" s="65">
        <v>601392</v>
      </c>
      <c r="F23" s="66" t="str">
        <f t="shared" ca="1" si="0"/>
        <v>Жовтень 2022</v>
      </c>
      <c r="G23" s="65">
        <v>704437.93567999988</v>
      </c>
      <c r="H23" s="67" t="s">
        <v>34</v>
      </c>
      <c r="I23" s="65">
        <v>103045.93567999988</v>
      </c>
    </row>
    <row r="24" spans="2:11" ht="15" x14ac:dyDescent="0.3">
      <c r="B24" s="64" t="s">
        <v>56</v>
      </c>
      <c r="C24" s="64" t="s">
        <v>47</v>
      </c>
      <c r="D24" s="64">
        <v>56</v>
      </c>
      <c r="E24" s="65">
        <v>492184</v>
      </c>
      <c r="F24" s="66" t="str">
        <f t="shared" ca="1" si="0"/>
        <v>Жовтень 2022</v>
      </c>
      <c r="G24" s="65">
        <v>562360.56575999991</v>
      </c>
      <c r="H24" s="67" t="s">
        <v>41</v>
      </c>
      <c r="I24" s="65">
        <v>70176.56575999991</v>
      </c>
    </row>
    <row r="25" spans="2:11" ht="15" x14ac:dyDescent="0.3">
      <c r="B25" s="64" t="s">
        <v>54</v>
      </c>
      <c r="C25" s="64" t="s">
        <v>48</v>
      </c>
      <c r="D25" s="64">
        <v>34</v>
      </c>
      <c r="E25" s="65">
        <v>247962</v>
      </c>
      <c r="F25" s="66" t="str">
        <f t="shared" ca="1" si="0"/>
        <v>Жовтень 2022</v>
      </c>
      <c r="G25" s="65">
        <v>287322.25673999998</v>
      </c>
      <c r="H25" s="67" t="s">
        <v>30</v>
      </c>
      <c r="I25" s="65">
        <v>39360.256739999983</v>
      </c>
    </row>
    <row r="26" spans="2:11" ht="15" x14ac:dyDescent="0.3">
      <c r="B26" s="64" t="s">
        <v>54</v>
      </c>
      <c r="C26" s="64" t="s">
        <v>48</v>
      </c>
      <c r="D26" s="64">
        <v>32</v>
      </c>
      <c r="E26" s="65">
        <v>215424</v>
      </c>
      <c r="F26" s="66" t="str">
        <f t="shared" ca="1" si="0"/>
        <v>Жовтень 2022</v>
      </c>
      <c r="G26" s="65">
        <v>246129.62303999998</v>
      </c>
      <c r="H26" s="67" t="s">
        <v>32</v>
      </c>
      <c r="I26" s="65">
        <v>30705.623039999977</v>
      </c>
    </row>
    <row r="27" spans="2:11" ht="15" x14ac:dyDescent="0.3">
      <c r="B27" s="64" t="s">
        <v>54</v>
      </c>
      <c r="C27" s="64" t="s">
        <v>48</v>
      </c>
      <c r="D27" s="64">
        <v>34</v>
      </c>
      <c r="E27" s="65">
        <v>267036</v>
      </c>
      <c r="F27" s="66" t="str">
        <f t="shared" ca="1" si="0"/>
        <v>Жовтень 2022</v>
      </c>
      <c r="G27" s="65">
        <v>309421.39313999994</v>
      </c>
      <c r="H27" s="67" t="s">
        <v>32</v>
      </c>
      <c r="I27" s="65">
        <v>42385.393139999942</v>
      </c>
    </row>
    <row r="28" spans="2:11" ht="15" x14ac:dyDescent="0.3">
      <c r="B28" s="64" t="s">
        <v>54</v>
      </c>
      <c r="C28" s="64" t="s">
        <v>52</v>
      </c>
      <c r="D28" s="64">
        <v>67</v>
      </c>
      <c r="E28" s="65">
        <v>538747</v>
      </c>
      <c r="F28" s="66" t="str">
        <f t="shared" ca="1" si="0"/>
        <v>Жовтень 2022</v>
      </c>
      <c r="G28" s="65">
        <v>624322.2980849999</v>
      </c>
      <c r="H28" s="67" t="s">
        <v>30</v>
      </c>
      <c r="I28" s="65">
        <v>85575.2980849999</v>
      </c>
    </row>
    <row r="29" spans="2:11" ht="15" x14ac:dyDescent="0.3">
      <c r="B29" s="64" t="s">
        <v>54</v>
      </c>
      <c r="C29" s="64" t="s">
        <v>36</v>
      </c>
      <c r="D29" s="64">
        <v>32</v>
      </c>
      <c r="E29" s="65">
        <v>209440</v>
      </c>
      <c r="F29" s="66" t="str">
        <f t="shared" ca="1" si="0"/>
        <v>Жовтень 2022</v>
      </c>
      <c r="G29" s="65">
        <v>236296.44799999997</v>
      </c>
      <c r="H29" s="67" t="s">
        <v>38</v>
      </c>
      <c r="I29" s="65">
        <v>26856.447999999975</v>
      </c>
    </row>
    <row r="30" spans="2:11" ht="15" x14ac:dyDescent="0.3">
      <c r="B30" s="64" t="s">
        <v>54</v>
      </c>
      <c r="C30" s="64" t="s">
        <v>31</v>
      </c>
      <c r="D30" s="64">
        <v>45</v>
      </c>
      <c r="E30" s="65">
        <v>387090</v>
      </c>
      <c r="F30" s="66" t="str">
        <f t="shared" ca="1" si="0"/>
        <v>Жовтень 2022</v>
      </c>
      <c r="G30" s="65">
        <v>447844.27499999997</v>
      </c>
      <c r="H30" s="67" t="s">
        <v>41</v>
      </c>
      <c r="I30" s="65">
        <v>60754.274999999965</v>
      </c>
    </row>
    <row r="31" spans="2:11" ht="15" x14ac:dyDescent="0.3">
      <c r="B31" s="64" t="s">
        <v>54</v>
      </c>
      <c r="C31" s="64" t="s">
        <v>51</v>
      </c>
      <c r="D31" s="64">
        <v>56</v>
      </c>
      <c r="E31" s="65">
        <v>492184</v>
      </c>
      <c r="F31" s="66" t="str">
        <f t="shared" ca="1" si="0"/>
        <v>Жовтень 2022</v>
      </c>
      <c r="G31" s="65">
        <v>555330.94400000002</v>
      </c>
      <c r="H31" s="67" t="s">
        <v>34</v>
      </c>
      <c r="I31" s="65">
        <v>63146.944000000018</v>
      </c>
    </row>
    <row r="32" spans="2:11" ht="15" x14ac:dyDescent="0.3">
      <c r="B32" s="64" t="s">
        <v>42</v>
      </c>
      <c r="C32" s="64" t="s">
        <v>49</v>
      </c>
      <c r="D32" s="64">
        <v>36</v>
      </c>
      <c r="E32" s="65">
        <v>336600</v>
      </c>
      <c r="F32" s="66" t="str">
        <f t="shared" ca="1" si="0"/>
        <v>Жовтень 2022</v>
      </c>
      <c r="G32" s="65">
        <v>390022.29863999999</v>
      </c>
      <c r="H32" s="67" t="s">
        <v>30</v>
      </c>
      <c r="I32" s="65">
        <v>53422.298639999994</v>
      </c>
    </row>
    <row r="33" spans="2:9" ht="15" x14ac:dyDescent="0.3">
      <c r="B33" s="64" t="s">
        <v>42</v>
      </c>
      <c r="C33" s="64" t="s">
        <v>47</v>
      </c>
      <c r="D33" s="64">
        <v>34</v>
      </c>
      <c r="E33" s="65">
        <v>305184</v>
      </c>
      <c r="F33" s="66" t="str">
        <f t="shared" ca="1" si="0"/>
        <v>Жовтень 2022</v>
      </c>
      <c r="G33" s="65">
        <v>348686.22207999998</v>
      </c>
      <c r="H33" s="67" t="s">
        <v>32</v>
      </c>
      <c r="I33" s="65">
        <v>43502.222079999978</v>
      </c>
    </row>
    <row r="34" spans="2:9" ht="15" x14ac:dyDescent="0.3">
      <c r="B34" s="64" t="s">
        <v>55</v>
      </c>
      <c r="C34" s="64" t="s">
        <v>49</v>
      </c>
      <c r="D34" s="64">
        <v>32</v>
      </c>
      <c r="E34" s="65">
        <v>233376</v>
      </c>
      <c r="F34" s="66" t="str">
        <f t="shared" ca="1" si="0"/>
        <v>Жовтень 2022</v>
      </c>
      <c r="G34" s="65">
        <v>263996.51199999999</v>
      </c>
      <c r="H34" s="67" t="s">
        <v>30</v>
      </c>
      <c r="I34" s="65">
        <v>30620.511999999988</v>
      </c>
    </row>
    <row r="35" spans="2:9" ht="15" x14ac:dyDescent="0.3">
      <c r="B35" s="64" t="s">
        <v>55</v>
      </c>
      <c r="C35" s="64" t="s">
        <v>47</v>
      </c>
      <c r="D35" s="64">
        <v>45</v>
      </c>
      <c r="E35" s="65">
        <v>311355</v>
      </c>
      <c r="F35" s="66" t="str">
        <f t="shared" ca="1" si="0"/>
        <v>Жовтень 2022</v>
      </c>
      <c r="G35" s="65">
        <v>360234.02699999994</v>
      </c>
      <c r="H35" s="67" t="s">
        <v>38</v>
      </c>
      <c r="I35" s="65">
        <v>48879.026999999944</v>
      </c>
    </row>
    <row r="36" spans="2:9" ht="15" x14ac:dyDescent="0.3">
      <c r="B36" s="64" t="s">
        <v>55</v>
      </c>
      <c r="C36" s="64" t="s">
        <v>48</v>
      </c>
      <c r="D36" s="64">
        <v>45</v>
      </c>
      <c r="E36" s="65">
        <v>336600</v>
      </c>
      <c r="F36" s="66" t="str">
        <f t="shared" ca="1" si="0"/>
        <v>Жовтень 2022</v>
      </c>
      <c r="G36" s="65">
        <v>384589.67399999994</v>
      </c>
      <c r="H36" s="67" t="s">
        <v>43</v>
      </c>
      <c r="I36" s="65">
        <v>47989.673999999941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F0CA-D5E8-4F52-AED9-093F65E974BE}">
  <sheetPr>
    <tabColor rgb="FF008000"/>
  </sheetPr>
  <dimension ref="B1:C3"/>
  <sheetViews>
    <sheetView workbookViewId="0"/>
  </sheetViews>
  <sheetFormatPr defaultColWidth="9.109375" defaultRowHeight="14.4" x14ac:dyDescent="0.3"/>
  <cols>
    <col min="1" max="1" width="3.6640625" style="1" customWidth="1"/>
    <col min="2" max="3" width="16.33203125" style="1" customWidth="1"/>
    <col min="4" max="16384" width="9.109375" style="1"/>
  </cols>
  <sheetData>
    <row r="1" spans="2:3" ht="15" thickBot="1" x14ac:dyDescent="0.35"/>
    <row r="2" spans="2:3" ht="36" x14ac:dyDescent="0.3">
      <c r="B2" s="6" t="s">
        <v>58</v>
      </c>
      <c r="C2" s="7" t="s">
        <v>57</v>
      </c>
    </row>
    <row r="3" spans="2:3" ht="21.6" thickBot="1" x14ac:dyDescent="0.35">
      <c r="B3" s="8">
        <v>26.33</v>
      </c>
      <c r="C3" s="9">
        <v>29.7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4F03-DA01-4ABC-A002-7E044EB0BCB0}">
  <dimension ref="B2:M57"/>
  <sheetViews>
    <sheetView zoomScaleNormal="100" workbookViewId="0"/>
  </sheetViews>
  <sheetFormatPr defaultColWidth="9.109375" defaultRowHeight="13.8" x14ac:dyDescent="0.25"/>
  <cols>
    <col min="1" max="1" width="3.6640625" style="11" customWidth="1"/>
    <col min="2" max="2" width="5.33203125" style="11" customWidth="1"/>
    <col min="3" max="3" width="19.5546875" style="11" bestFit="1" customWidth="1"/>
    <col min="4" max="4" width="16" style="11" bestFit="1" customWidth="1"/>
    <col min="5" max="5" width="19.44140625" style="11" bestFit="1" customWidth="1"/>
    <col min="6" max="6" width="12.109375" style="11" bestFit="1" customWidth="1"/>
    <col min="7" max="7" width="22.88671875" style="11" customWidth="1"/>
    <col min="8" max="8" width="22" style="11" bestFit="1" customWidth="1"/>
    <col min="9" max="9" width="13" style="11" bestFit="1" customWidth="1"/>
    <col min="10" max="10" width="15.6640625" style="11" bestFit="1" customWidth="1"/>
    <col min="11" max="11" width="16.33203125" style="11" customWidth="1"/>
    <col min="12" max="12" width="4.5546875" style="11" customWidth="1"/>
    <col min="13" max="16384" width="9.109375" style="11"/>
  </cols>
  <sheetData>
    <row r="2" spans="2:13" ht="18" x14ac:dyDescent="0.35">
      <c r="B2" s="112" t="s">
        <v>65</v>
      </c>
      <c r="C2" s="112" t="s">
        <v>81</v>
      </c>
      <c r="D2" s="112" t="s">
        <v>82</v>
      </c>
      <c r="E2" s="112" t="s">
        <v>83</v>
      </c>
      <c r="F2" s="112" t="s">
        <v>80</v>
      </c>
      <c r="G2" s="112" t="s">
        <v>77</v>
      </c>
      <c r="H2" s="112" t="s">
        <v>79</v>
      </c>
      <c r="I2" s="112" t="s">
        <v>1</v>
      </c>
      <c r="J2" s="112" t="s">
        <v>324</v>
      </c>
      <c r="K2" s="113" t="s">
        <v>66</v>
      </c>
      <c r="M2" s="2" t="s">
        <v>9</v>
      </c>
    </row>
    <row r="3" spans="2:13" ht="18" x14ac:dyDescent="0.35">
      <c r="B3" s="108">
        <v>1</v>
      </c>
      <c r="C3" s="109" t="s">
        <v>508</v>
      </c>
      <c r="D3" s="109" t="s">
        <v>509</v>
      </c>
      <c r="E3" s="109" t="s">
        <v>617</v>
      </c>
      <c r="F3" s="110" t="s">
        <v>67</v>
      </c>
      <c r="G3" s="111">
        <v>29951</v>
      </c>
      <c r="H3" s="109" t="s">
        <v>312</v>
      </c>
      <c r="I3" s="109" t="s">
        <v>68</v>
      </c>
      <c r="J3" s="109">
        <v>10240</v>
      </c>
      <c r="K3" s="109" t="s">
        <v>644</v>
      </c>
      <c r="M3" s="3" t="s">
        <v>84</v>
      </c>
    </row>
    <row r="4" spans="2:13" ht="18" x14ac:dyDescent="0.35">
      <c r="B4" s="108">
        <v>2</v>
      </c>
      <c r="C4" s="109" t="s">
        <v>579</v>
      </c>
      <c r="D4" s="109" t="s">
        <v>596</v>
      </c>
      <c r="E4" s="109" t="s">
        <v>626</v>
      </c>
      <c r="F4" s="110" t="s">
        <v>69</v>
      </c>
      <c r="G4" s="111">
        <v>35994</v>
      </c>
      <c r="H4" s="109" t="s">
        <v>484</v>
      </c>
      <c r="I4" s="109" t="s">
        <v>68</v>
      </c>
      <c r="J4" s="109">
        <v>10880</v>
      </c>
      <c r="K4" s="109" t="s">
        <v>645</v>
      </c>
      <c r="M4" s="4"/>
    </row>
    <row r="5" spans="2:13" ht="15" x14ac:dyDescent="0.25">
      <c r="B5" s="108">
        <v>3</v>
      </c>
      <c r="C5" s="109" t="s">
        <v>544</v>
      </c>
      <c r="D5" s="109" t="s">
        <v>545</v>
      </c>
      <c r="E5" s="109" t="s">
        <v>546</v>
      </c>
      <c r="F5" s="110" t="s">
        <v>69</v>
      </c>
      <c r="G5" s="111">
        <v>35994</v>
      </c>
      <c r="H5" s="109" t="s">
        <v>484</v>
      </c>
      <c r="I5" s="109" t="s">
        <v>68</v>
      </c>
      <c r="J5" s="109">
        <v>10880</v>
      </c>
      <c r="K5" s="109" t="s">
        <v>646</v>
      </c>
    </row>
    <row r="6" spans="2:13" ht="15" x14ac:dyDescent="0.25">
      <c r="B6" s="108">
        <v>4</v>
      </c>
      <c r="C6" s="109" t="s">
        <v>538</v>
      </c>
      <c r="D6" s="109" t="s">
        <v>604</v>
      </c>
      <c r="E6" s="109" t="s">
        <v>631</v>
      </c>
      <c r="F6" s="110" t="s">
        <v>67</v>
      </c>
      <c r="G6" s="111">
        <v>34463</v>
      </c>
      <c r="H6" s="109" t="s">
        <v>643</v>
      </c>
      <c r="I6" s="109" t="s">
        <v>68</v>
      </c>
      <c r="J6" s="109">
        <v>12800</v>
      </c>
      <c r="K6" s="109" t="s">
        <v>647</v>
      </c>
    </row>
    <row r="7" spans="2:13" ht="15" x14ac:dyDescent="0.25">
      <c r="B7" s="108">
        <v>5</v>
      </c>
      <c r="C7" s="109" t="s">
        <v>573</v>
      </c>
      <c r="D7" s="109" t="s">
        <v>593</v>
      </c>
      <c r="E7" s="109" t="s">
        <v>619</v>
      </c>
      <c r="F7" s="110" t="s">
        <v>67</v>
      </c>
      <c r="G7" s="111">
        <v>34714</v>
      </c>
      <c r="H7" s="109" t="s">
        <v>643</v>
      </c>
      <c r="I7" s="109" t="s">
        <v>68</v>
      </c>
      <c r="J7" s="109">
        <v>14720</v>
      </c>
      <c r="K7" s="109" t="s">
        <v>648</v>
      </c>
    </row>
    <row r="8" spans="2:13" ht="15" x14ac:dyDescent="0.25">
      <c r="B8" s="108">
        <v>6</v>
      </c>
      <c r="C8" s="109" t="s">
        <v>581</v>
      </c>
      <c r="D8" s="109" t="s">
        <v>534</v>
      </c>
      <c r="E8" s="109" t="s">
        <v>628</v>
      </c>
      <c r="F8" s="110" t="s">
        <v>67</v>
      </c>
      <c r="G8" s="111">
        <v>34714</v>
      </c>
      <c r="H8" s="109" t="s">
        <v>643</v>
      </c>
      <c r="I8" s="109" t="s">
        <v>68</v>
      </c>
      <c r="J8" s="109">
        <v>14720</v>
      </c>
      <c r="K8" s="109"/>
    </row>
    <row r="9" spans="2:13" ht="15" x14ac:dyDescent="0.25">
      <c r="B9" s="108">
        <v>7</v>
      </c>
      <c r="C9" s="109" t="s">
        <v>521</v>
      </c>
      <c r="D9" s="109" t="s">
        <v>522</v>
      </c>
      <c r="E9" s="109" t="s">
        <v>523</v>
      </c>
      <c r="F9" s="110" t="s">
        <v>67</v>
      </c>
      <c r="G9" s="111">
        <v>30156</v>
      </c>
      <c r="H9" s="109" t="s">
        <v>482</v>
      </c>
      <c r="I9" s="109" t="s">
        <v>68</v>
      </c>
      <c r="J9" s="109">
        <v>14720</v>
      </c>
      <c r="K9" s="109"/>
    </row>
    <row r="10" spans="2:13" ht="15" x14ac:dyDescent="0.25">
      <c r="B10" s="108">
        <v>8</v>
      </c>
      <c r="C10" s="109" t="s">
        <v>548</v>
      </c>
      <c r="D10" s="109" t="s">
        <v>609</v>
      </c>
      <c r="E10" s="109" t="s">
        <v>549</v>
      </c>
      <c r="F10" s="110" t="s">
        <v>67</v>
      </c>
      <c r="G10" s="111">
        <v>32696</v>
      </c>
      <c r="H10" s="109" t="s">
        <v>484</v>
      </c>
      <c r="I10" s="109" t="s">
        <v>68</v>
      </c>
      <c r="J10" s="109">
        <v>14720</v>
      </c>
      <c r="K10" s="109"/>
    </row>
    <row r="11" spans="2:13" ht="15" x14ac:dyDescent="0.25">
      <c r="B11" s="108">
        <v>9</v>
      </c>
      <c r="C11" s="109" t="s">
        <v>535</v>
      </c>
      <c r="D11" s="109" t="s">
        <v>602</v>
      </c>
      <c r="E11" s="109" t="s">
        <v>630</v>
      </c>
      <c r="F11" s="110" t="s">
        <v>69</v>
      </c>
      <c r="G11" s="111">
        <v>29778</v>
      </c>
      <c r="H11" s="109" t="s">
        <v>312</v>
      </c>
      <c r="I11" s="109" t="s">
        <v>68</v>
      </c>
      <c r="J11" s="109">
        <v>15360</v>
      </c>
      <c r="K11" s="109" t="s">
        <v>649</v>
      </c>
    </row>
    <row r="12" spans="2:13" ht="15" x14ac:dyDescent="0.25">
      <c r="B12" s="108">
        <v>10</v>
      </c>
      <c r="C12" s="109" t="s">
        <v>589</v>
      </c>
      <c r="D12" s="109" t="s">
        <v>616</v>
      </c>
      <c r="E12" s="109" t="s">
        <v>641</v>
      </c>
      <c r="F12" s="110" t="s">
        <v>67</v>
      </c>
      <c r="G12" s="111">
        <v>29843</v>
      </c>
      <c r="H12" s="109" t="s">
        <v>310</v>
      </c>
      <c r="I12" s="109" t="s">
        <v>68</v>
      </c>
      <c r="J12" s="109">
        <v>21760</v>
      </c>
      <c r="K12" s="109" t="s">
        <v>650</v>
      </c>
    </row>
    <row r="13" spans="2:13" ht="15" x14ac:dyDescent="0.25">
      <c r="B13" s="108">
        <v>11</v>
      </c>
      <c r="C13" s="109" t="s">
        <v>570</v>
      </c>
      <c r="D13" s="109" t="s">
        <v>510</v>
      </c>
      <c r="E13" s="109" t="s">
        <v>618</v>
      </c>
      <c r="F13" s="110" t="s">
        <v>69</v>
      </c>
      <c r="G13" s="111">
        <v>29488</v>
      </c>
      <c r="H13" s="109" t="s">
        <v>310</v>
      </c>
      <c r="I13" s="109" t="s">
        <v>68</v>
      </c>
      <c r="J13" s="109">
        <v>21760</v>
      </c>
      <c r="K13" s="109" t="s">
        <v>651</v>
      </c>
    </row>
    <row r="14" spans="2:13" ht="15" x14ac:dyDescent="0.25">
      <c r="B14" s="108">
        <v>12</v>
      </c>
      <c r="C14" s="109" t="s">
        <v>580</v>
      </c>
      <c r="D14" s="109" t="s">
        <v>532</v>
      </c>
      <c r="E14" s="109" t="s">
        <v>533</v>
      </c>
      <c r="F14" s="110" t="s">
        <v>67</v>
      </c>
      <c r="G14" s="111">
        <v>32127</v>
      </c>
      <c r="H14" s="109" t="s">
        <v>311</v>
      </c>
      <c r="I14" s="109" t="s">
        <v>72</v>
      </c>
      <c r="J14" s="109">
        <v>5030</v>
      </c>
      <c r="K14" s="109"/>
    </row>
    <row r="15" spans="2:13" ht="15" x14ac:dyDescent="0.25">
      <c r="B15" s="108">
        <v>13</v>
      </c>
      <c r="C15" s="109" t="s">
        <v>561</v>
      </c>
      <c r="D15" s="109" t="s">
        <v>562</v>
      </c>
      <c r="E15" s="109" t="s">
        <v>563</v>
      </c>
      <c r="F15" s="110" t="s">
        <v>67</v>
      </c>
      <c r="G15" s="111">
        <v>36065</v>
      </c>
      <c r="H15" s="109" t="s">
        <v>643</v>
      </c>
      <c r="I15" s="109" t="s">
        <v>72</v>
      </c>
      <c r="J15" s="109">
        <v>8000</v>
      </c>
      <c r="K15" s="109"/>
    </row>
    <row r="16" spans="2:13" ht="15" x14ac:dyDescent="0.25">
      <c r="B16" s="108">
        <v>14</v>
      </c>
      <c r="C16" s="109" t="s">
        <v>558</v>
      </c>
      <c r="D16" s="109" t="s">
        <v>607</v>
      </c>
      <c r="E16" s="109" t="s">
        <v>638</v>
      </c>
      <c r="F16" s="110" t="s">
        <v>69</v>
      </c>
      <c r="G16" s="111">
        <v>31745</v>
      </c>
      <c r="H16" s="109" t="s">
        <v>482</v>
      </c>
      <c r="I16" s="109" t="s">
        <v>72</v>
      </c>
      <c r="J16" s="109">
        <v>9500</v>
      </c>
      <c r="K16" s="109"/>
    </row>
    <row r="17" spans="2:11" ht="15" x14ac:dyDescent="0.25">
      <c r="B17" s="108">
        <v>15</v>
      </c>
      <c r="C17" s="109" t="s">
        <v>528</v>
      </c>
      <c r="D17" s="109" t="s">
        <v>430</v>
      </c>
      <c r="E17" s="109" t="s">
        <v>625</v>
      </c>
      <c r="F17" s="110" t="s">
        <v>69</v>
      </c>
      <c r="G17" s="111">
        <v>31929</v>
      </c>
      <c r="H17" s="109" t="s">
        <v>312</v>
      </c>
      <c r="I17" s="109" t="s">
        <v>72</v>
      </c>
      <c r="J17" s="109">
        <v>10000</v>
      </c>
      <c r="K17" s="109" t="s">
        <v>652</v>
      </c>
    </row>
    <row r="18" spans="2:11" ht="15" x14ac:dyDescent="0.25">
      <c r="B18" s="108">
        <v>16</v>
      </c>
      <c r="C18" s="109" t="s">
        <v>571</v>
      </c>
      <c r="D18" s="109" t="s">
        <v>511</v>
      </c>
      <c r="E18" s="109" t="s">
        <v>512</v>
      </c>
      <c r="F18" s="110" t="s">
        <v>69</v>
      </c>
      <c r="G18" s="111">
        <v>30613</v>
      </c>
      <c r="H18" s="109" t="s">
        <v>484</v>
      </c>
      <c r="I18" s="109" t="s">
        <v>72</v>
      </c>
      <c r="J18" s="109">
        <v>10000</v>
      </c>
      <c r="K18" s="109" t="s">
        <v>653</v>
      </c>
    </row>
    <row r="19" spans="2:11" ht="15" x14ac:dyDescent="0.25">
      <c r="B19" s="108">
        <v>17</v>
      </c>
      <c r="C19" s="109" t="s">
        <v>568</v>
      </c>
      <c r="D19" s="109" t="s">
        <v>332</v>
      </c>
      <c r="E19" s="109" t="s">
        <v>327</v>
      </c>
      <c r="F19" s="110" t="s">
        <v>69</v>
      </c>
      <c r="G19" s="111">
        <v>35936</v>
      </c>
      <c r="H19" s="109" t="s">
        <v>311</v>
      </c>
      <c r="I19" s="109" t="s">
        <v>72</v>
      </c>
      <c r="J19" s="109">
        <v>11500</v>
      </c>
      <c r="K19" s="109" t="s">
        <v>660</v>
      </c>
    </row>
    <row r="20" spans="2:11" ht="15" x14ac:dyDescent="0.25">
      <c r="B20" s="108">
        <v>18</v>
      </c>
      <c r="C20" s="109" t="s">
        <v>551</v>
      </c>
      <c r="D20" s="109" t="s">
        <v>611</v>
      </c>
      <c r="E20" s="109" t="s">
        <v>637</v>
      </c>
      <c r="F20" s="110" t="s">
        <v>67</v>
      </c>
      <c r="G20" s="111">
        <v>33091</v>
      </c>
      <c r="H20" s="109" t="s">
        <v>310</v>
      </c>
      <c r="I20" s="109" t="s">
        <v>72</v>
      </c>
      <c r="J20" s="109">
        <v>11500</v>
      </c>
      <c r="K20" s="109" t="s">
        <v>654</v>
      </c>
    </row>
    <row r="21" spans="2:11" ht="15" x14ac:dyDescent="0.25">
      <c r="B21" s="108">
        <v>19</v>
      </c>
      <c r="C21" s="109" t="s">
        <v>529</v>
      </c>
      <c r="D21" s="109" t="s">
        <v>597</v>
      </c>
      <c r="E21" s="109" t="s">
        <v>530</v>
      </c>
      <c r="F21" s="110" t="s">
        <v>67</v>
      </c>
      <c r="G21" s="111">
        <v>33091</v>
      </c>
      <c r="H21" s="109" t="s">
        <v>310</v>
      </c>
      <c r="I21" s="109" t="s">
        <v>72</v>
      </c>
      <c r="J21" s="109">
        <v>11500</v>
      </c>
      <c r="K21" s="109" t="s">
        <v>655</v>
      </c>
    </row>
    <row r="22" spans="2:11" ht="15" x14ac:dyDescent="0.25">
      <c r="B22" s="108">
        <v>20</v>
      </c>
      <c r="C22" s="109" t="s">
        <v>584</v>
      </c>
      <c r="D22" s="109" t="s">
        <v>606</v>
      </c>
      <c r="E22" s="109" t="s">
        <v>540</v>
      </c>
      <c r="F22" s="110" t="s">
        <v>69</v>
      </c>
      <c r="G22" s="111">
        <v>35538</v>
      </c>
      <c r="H22" s="109" t="s">
        <v>483</v>
      </c>
      <c r="I22" s="109" t="s">
        <v>72</v>
      </c>
      <c r="J22" s="109">
        <v>17000</v>
      </c>
      <c r="K22" s="109"/>
    </row>
    <row r="23" spans="2:11" ht="15" x14ac:dyDescent="0.25">
      <c r="B23" s="108">
        <v>21</v>
      </c>
      <c r="C23" s="109" t="s">
        <v>586</v>
      </c>
      <c r="D23" s="109" t="s">
        <v>612</v>
      </c>
      <c r="E23" s="109" t="s">
        <v>552</v>
      </c>
      <c r="F23" s="110" t="s">
        <v>69</v>
      </c>
      <c r="G23" s="111">
        <v>35538</v>
      </c>
      <c r="H23" s="109" t="s">
        <v>483</v>
      </c>
      <c r="I23" s="109" t="s">
        <v>72</v>
      </c>
      <c r="J23" s="109">
        <v>17000</v>
      </c>
      <c r="K23" s="109"/>
    </row>
    <row r="24" spans="2:11" ht="15" x14ac:dyDescent="0.25">
      <c r="B24" s="108">
        <v>22</v>
      </c>
      <c r="C24" s="109" t="s">
        <v>566</v>
      </c>
      <c r="D24" s="109" t="s">
        <v>591</v>
      </c>
      <c r="E24" s="109" t="s">
        <v>503</v>
      </c>
      <c r="F24" s="110" t="s">
        <v>67</v>
      </c>
      <c r="G24" s="111">
        <v>30384</v>
      </c>
      <c r="H24" s="109" t="s">
        <v>484</v>
      </c>
      <c r="I24" s="109" t="s">
        <v>72</v>
      </c>
      <c r="J24" s="109">
        <v>17025</v>
      </c>
      <c r="K24" s="109"/>
    </row>
    <row r="25" spans="2:11" ht="15" x14ac:dyDescent="0.25">
      <c r="B25" s="108">
        <v>23</v>
      </c>
      <c r="C25" s="109" t="s">
        <v>560</v>
      </c>
      <c r="D25" s="109" t="s">
        <v>614</v>
      </c>
      <c r="E25" s="109" t="s">
        <v>639</v>
      </c>
      <c r="F25" s="110" t="s">
        <v>67</v>
      </c>
      <c r="G25" s="111">
        <v>30339</v>
      </c>
      <c r="H25" s="109" t="s">
        <v>484</v>
      </c>
      <c r="I25" s="109" t="s">
        <v>72</v>
      </c>
      <c r="J25" s="109">
        <v>17000</v>
      </c>
      <c r="K25" s="109" t="s">
        <v>656</v>
      </c>
    </row>
    <row r="26" spans="2:11" ht="15" x14ac:dyDescent="0.25">
      <c r="B26" s="108">
        <v>24</v>
      </c>
      <c r="C26" s="109" t="s">
        <v>574</v>
      </c>
      <c r="D26" s="109" t="s">
        <v>594</v>
      </c>
      <c r="E26" s="109" t="s">
        <v>620</v>
      </c>
      <c r="F26" s="110" t="s">
        <v>67</v>
      </c>
      <c r="G26" s="111">
        <v>34033</v>
      </c>
      <c r="H26" s="109" t="s">
        <v>480</v>
      </c>
      <c r="I26" s="109" t="s">
        <v>73</v>
      </c>
      <c r="J26" s="109">
        <v>5810</v>
      </c>
      <c r="K26" s="109"/>
    </row>
    <row r="27" spans="2:11" ht="15" x14ac:dyDescent="0.25">
      <c r="B27" s="108">
        <v>25</v>
      </c>
      <c r="C27" s="109" t="s">
        <v>550</v>
      </c>
      <c r="D27" s="109" t="s">
        <v>610</v>
      </c>
      <c r="E27" s="109" t="s">
        <v>636</v>
      </c>
      <c r="F27" s="110" t="s">
        <v>69</v>
      </c>
      <c r="G27" s="111">
        <v>31450</v>
      </c>
      <c r="H27" s="109" t="s">
        <v>484</v>
      </c>
      <c r="I27" s="109" t="s">
        <v>73</v>
      </c>
      <c r="J27" s="109">
        <v>5816</v>
      </c>
      <c r="K27" s="109"/>
    </row>
    <row r="28" spans="2:11" ht="15" x14ac:dyDescent="0.25">
      <c r="B28" s="108">
        <v>26</v>
      </c>
      <c r="C28" s="109" t="s">
        <v>582</v>
      </c>
      <c r="D28" s="109" t="s">
        <v>600</v>
      </c>
      <c r="E28" s="109" t="s">
        <v>518</v>
      </c>
      <c r="F28" s="110" t="s">
        <v>67</v>
      </c>
      <c r="G28" s="111">
        <v>36010</v>
      </c>
      <c r="H28" s="109" t="s">
        <v>310</v>
      </c>
      <c r="I28" s="109" t="s">
        <v>75</v>
      </c>
      <c r="J28" s="109">
        <v>5890</v>
      </c>
      <c r="K28" s="109"/>
    </row>
    <row r="29" spans="2:11" ht="15" x14ac:dyDescent="0.25">
      <c r="B29" s="108">
        <v>27</v>
      </c>
      <c r="C29" s="109" t="s">
        <v>583</v>
      </c>
      <c r="D29" s="109" t="s">
        <v>601</v>
      </c>
      <c r="E29" s="109" t="s">
        <v>629</v>
      </c>
      <c r="F29" s="110" t="s">
        <v>69</v>
      </c>
      <c r="G29" s="111">
        <v>36504</v>
      </c>
      <c r="H29" s="109" t="s">
        <v>480</v>
      </c>
      <c r="I29" s="109" t="s">
        <v>73</v>
      </c>
      <c r="J29" s="109">
        <f>J28+230</f>
        <v>6120</v>
      </c>
      <c r="K29" s="109"/>
    </row>
    <row r="30" spans="2:11" ht="15" x14ac:dyDescent="0.25">
      <c r="B30" s="108">
        <v>28</v>
      </c>
      <c r="C30" s="109" t="s">
        <v>536</v>
      </c>
      <c r="D30" s="109" t="s">
        <v>603</v>
      </c>
      <c r="E30" s="109" t="s">
        <v>537</v>
      </c>
      <c r="F30" s="110" t="s">
        <v>69</v>
      </c>
      <c r="G30" s="111">
        <v>30267</v>
      </c>
      <c r="H30" s="109" t="s">
        <v>483</v>
      </c>
      <c r="I30" s="109" t="s">
        <v>73</v>
      </c>
      <c r="J30" s="109">
        <f>J29+230</f>
        <v>6350</v>
      </c>
      <c r="K30" s="109"/>
    </row>
    <row r="31" spans="2:11" ht="15" x14ac:dyDescent="0.25">
      <c r="B31" s="108">
        <v>29</v>
      </c>
      <c r="C31" s="109" t="s">
        <v>539</v>
      </c>
      <c r="D31" s="109" t="s">
        <v>605</v>
      </c>
      <c r="E31" s="109" t="s">
        <v>492</v>
      </c>
      <c r="F31" s="110" t="s">
        <v>69</v>
      </c>
      <c r="G31" s="111">
        <v>33500</v>
      </c>
      <c r="H31" s="109" t="s">
        <v>480</v>
      </c>
      <c r="I31" s="109" t="s">
        <v>73</v>
      </c>
      <c r="J31" s="109">
        <f>J30+30</f>
        <v>6380</v>
      </c>
      <c r="K31" s="109"/>
    </row>
    <row r="32" spans="2:11" ht="15" x14ac:dyDescent="0.25">
      <c r="B32" s="108">
        <v>30</v>
      </c>
      <c r="C32" s="109" t="s">
        <v>329</v>
      </c>
      <c r="D32" s="109" t="s">
        <v>599</v>
      </c>
      <c r="E32" s="109" t="s">
        <v>627</v>
      </c>
      <c r="F32" s="110" t="s">
        <v>67</v>
      </c>
      <c r="G32" s="111">
        <v>31250</v>
      </c>
      <c r="H32" s="109" t="s">
        <v>482</v>
      </c>
      <c r="I32" s="109" t="s">
        <v>73</v>
      </c>
      <c r="J32" s="109">
        <f t="shared" ref="J32:J40" si="0">J31+230</f>
        <v>6610</v>
      </c>
      <c r="K32" s="109"/>
    </row>
    <row r="33" spans="2:11" ht="15" x14ac:dyDescent="0.25">
      <c r="B33" s="108">
        <v>31</v>
      </c>
      <c r="C33" s="109" t="s">
        <v>585</v>
      </c>
      <c r="D33" s="109" t="s">
        <v>74</v>
      </c>
      <c r="E33" s="109" t="s">
        <v>634</v>
      </c>
      <c r="F33" s="110" t="s">
        <v>69</v>
      </c>
      <c r="G33" s="111">
        <v>32430</v>
      </c>
      <c r="H33" s="109" t="s">
        <v>312</v>
      </c>
      <c r="I33" s="109" t="s">
        <v>73</v>
      </c>
      <c r="J33" s="109">
        <f t="shared" si="0"/>
        <v>6840</v>
      </c>
      <c r="K33" s="109"/>
    </row>
    <row r="34" spans="2:11" ht="15" x14ac:dyDescent="0.25">
      <c r="B34" s="108">
        <v>32</v>
      </c>
      <c r="C34" s="109" t="s">
        <v>576</v>
      </c>
      <c r="D34" s="109" t="s">
        <v>331</v>
      </c>
      <c r="E34" s="109" t="s">
        <v>623</v>
      </c>
      <c r="F34" s="110" t="s">
        <v>67</v>
      </c>
      <c r="G34" s="111">
        <v>30602</v>
      </c>
      <c r="H34" s="109" t="s">
        <v>310</v>
      </c>
      <c r="I34" s="109" t="s">
        <v>73</v>
      </c>
      <c r="J34" s="109">
        <f t="shared" si="0"/>
        <v>7070</v>
      </c>
      <c r="K34" s="109"/>
    </row>
    <row r="35" spans="2:11" ht="15" x14ac:dyDescent="0.25">
      <c r="B35" s="108">
        <v>33</v>
      </c>
      <c r="C35" s="109" t="s">
        <v>575</v>
      </c>
      <c r="D35" s="109" t="s">
        <v>595</v>
      </c>
      <c r="E35" s="109" t="s">
        <v>622</v>
      </c>
      <c r="F35" s="110" t="s">
        <v>67</v>
      </c>
      <c r="G35" s="111">
        <v>36452</v>
      </c>
      <c r="H35" s="109" t="s">
        <v>310</v>
      </c>
      <c r="I35" s="109" t="s">
        <v>73</v>
      </c>
      <c r="J35" s="109">
        <f t="shared" si="0"/>
        <v>7300</v>
      </c>
      <c r="K35" s="109"/>
    </row>
    <row r="36" spans="2:11" ht="15" x14ac:dyDescent="0.25">
      <c r="B36" s="108">
        <v>34</v>
      </c>
      <c r="C36" s="109" t="s">
        <v>547</v>
      </c>
      <c r="D36" s="109" t="s">
        <v>608</v>
      </c>
      <c r="E36" s="109" t="s">
        <v>635</v>
      </c>
      <c r="F36" s="110" t="s">
        <v>67</v>
      </c>
      <c r="G36" s="111">
        <v>33370</v>
      </c>
      <c r="H36" s="109" t="s">
        <v>643</v>
      </c>
      <c r="I36" s="109" t="s">
        <v>73</v>
      </c>
      <c r="J36" s="109">
        <f t="shared" si="0"/>
        <v>7530</v>
      </c>
      <c r="K36" s="109"/>
    </row>
    <row r="37" spans="2:11" ht="15" x14ac:dyDescent="0.25">
      <c r="B37" s="108">
        <v>35</v>
      </c>
      <c r="C37" s="109" t="s">
        <v>578</v>
      </c>
      <c r="D37" s="109" t="s">
        <v>510</v>
      </c>
      <c r="E37" s="109" t="s">
        <v>70</v>
      </c>
      <c r="F37" s="110" t="s">
        <v>67</v>
      </c>
      <c r="G37" s="111">
        <v>32608</v>
      </c>
      <c r="H37" s="109" t="s">
        <v>310</v>
      </c>
      <c r="I37" s="109" t="s">
        <v>73</v>
      </c>
      <c r="J37" s="109">
        <f t="shared" si="0"/>
        <v>7760</v>
      </c>
      <c r="K37" s="109"/>
    </row>
    <row r="38" spans="2:11" ht="15" x14ac:dyDescent="0.25">
      <c r="B38" s="108">
        <v>36</v>
      </c>
      <c r="C38" s="109" t="s">
        <v>527</v>
      </c>
      <c r="D38" s="109" t="s">
        <v>333</v>
      </c>
      <c r="E38" s="109" t="s">
        <v>327</v>
      </c>
      <c r="F38" s="110" t="s">
        <v>69</v>
      </c>
      <c r="G38" s="111">
        <v>31268</v>
      </c>
      <c r="H38" s="109" t="s">
        <v>484</v>
      </c>
      <c r="I38" s="109" t="s">
        <v>73</v>
      </c>
      <c r="J38" s="109">
        <f t="shared" si="0"/>
        <v>7990</v>
      </c>
      <c r="K38" s="109"/>
    </row>
    <row r="39" spans="2:11" ht="15" x14ac:dyDescent="0.25">
      <c r="B39" s="108">
        <v>37</v>
      </c>
      <c r="C39" s="109" t="s">
        <v>531</v>
      </c>
      <c r="D39" s="109" t="s">
        <v>598</v>
      </c>
      <c r="E39" s="109" t="s">
        <v>71</v>
      </c>
      <c r="F39" s="110" t="s">
        <v>69</v>
      </c>
      <c r="G39" s="111">
        <v>30880</v>
      </c>
      <c r="H39" s="109" t="s">
        <v>310</v>
      </c>
      <c r="I39" s="109" t="s">
        <v>73</v>
      </c>
      <c r="J39" s="109">
        <f t="shared" si="0"/>
        <v>8220</v>
      </c>
      <c r="K39" s="109"/>
    </row>
    <row r="40" spans="2:11" ht="15" x14ac:dyDescent="0.25">
      <c r="B40" s="108">
        <v>38</v>
      </c>
      <c r="C40" s="109" t="s">
        <v>577</v>
      </c>
      <c r="D40" s="109" t="s">
        <v>526</v>
      </c>
      <c r="E40" s="109" t="s">
        <v>624</v>
      </c>
      <c r="F40" s="110" t="s">
        <v>69</v>
      </c>
      <c r="G40" s="111">
        <v>33431</v>
      </c>
      <c r="H40" s="109" t="s">
        <v>310</v>
      </c>
      <c r="I40" s="109" t="s">
        <v>73</v>
      </c>
      <c r="J40" s="109">
        <f t="shared" si="0"/>
        <v>8450</v>
      </c>
      <c r="K40" s="109"/>
    </row>
    <row r="41" spans="2:11" ht="15" x14ac:dyDescent="0.25">
      <c r="B41" s="108">
        <v>39</v>
      </c>
      <c r="C41" s="109" t="s">
        <v>572</v>
      </c>
      <c r="D41" s="109" t="s">
        <v>592</v>
      </c>
      <c r="E41" s="109" t="s">
        <v>513</v>
      </c>
      <c r="F41" s="110" t="s">
        <v>69</v>
      </c>
      <c r="G41" s="111">
        <v>34957</v>
      </c>
      <c r="H41" s="109" t="s">
        <v>310</v>
      </c>
      <c r="I41" s="109" t="s">
        <v>73</v>
      </c>
      <c r="J41" s="109">
        <v>6120</v>
      </c>
      <c r="K41" s="109"/>
    </row>
    <row r="42" spans="2:11" ht="15" x14ac:dyDescent="0.25">
      <c r="B42" s="108">
        <v>40</v>
      </c>
      <c r="C42" s="109" t="s">
        <v>542</v>
      </c>
      <c r="D42" s="109" t="s">
        <v>543</v>
      </c>
      <c r="E42" s="109" t="s">
        <v>633</v>
      </c>
      <c r="F42" s="110" t="s">
        <v>67</v>
      </c>
      <c r="G42" s="111">
        <v>31841</v>
      </c>
      <c r="H42" s="109" t="s">
        <v>310</v>
      </c>
      <c r="I42" s="109" t="s">
        <v>73</v>
      </c>
      <c r="J42" s="109">
        <v>6120</v>
      </c>
      <c r="K42" s="109"/>
    </row>
    <row r="43" spans="2:11" ht="15" x14ac:dyDescent="0.25">
      <c r="B43" s="108">
        <v>41</v>
      </c>
      <c r="C43" s="109" t="s">
        <v>564</v>
      </c>
      <c r="D43" s="109" t="s">
        <v>615</v>
      </c>
      <c r="E43" s="109" t="s">
        <v>640</v>
      </c>
      <c r="F43" s="110" t="s">
        <v>69</v>
      </c>
      <c r="G43" s="111">
        <v>30616</v>
      </c>
      <c r="H43" s="109" t="s">
        <v>311</v>
      </c>
      <c r="I43" s="109" t="s">
        <v>73</v>
      </c>
      <c r="J43" s="109">
        <v>6120</v>
      </c>
      <c r="K43" s="109"/>
    </row>
    <row r="44" spans="2:11" ht="15" x14ac:dyDescent="0.25">
      <c r="B44" s="108">
        <v>42</v>
      </c>
      <c r="C44" s="109" t="s">
        <v>582</v>
      </c>
      <c r="D44" s="109" t="s">
        <v>600</v>
      </c>
      <c r="E44" s="109" t="s">
        <v>518</v>
      </c>
      <c r="F44" s="110" t="s">
        <v>67</v>
      </c>
      <c r="G44" s="111">
        <v>36010</v>
      </c>
      <c r="H44" s="109" t="s">
        <v>310</v>
      </c>
      <c r="I44" s="109" t="s">
        <v>75</v>
      </c>
      <c r="J44" s="109">
        <v>5890</v>
      </c>
      <c r="K44" s="109"/>
    </row>
    <row r="45" spans="2:11" ht="15" x14ac:dyDescent="0.25">
      <c r="B45" s="108">
        <v>43</v>
      </c>
      <c r="C45" s="109" t="s">
        <v>524</v>
      </c>
      <c r="D45" s="109" t="s">
        <v>525</v>
      </c>
      <c r="E45" s="109" t="s">
        <v>621</v>
      </c>
      <c r="F45" s="110" t="s">
        <v>69</v>
      </c>
      <c r="G45" s="111">
        <v>34189</v>
      </c>
      <c r="H45" s="109" t="s">
        <v>310</v>
      </c>
      <c r="I45" s="109" t="s">
        <v>75</v>
      </c>
      <c r="J45" s="109">
        <f>J44+504</f>
        <v>6394</v>
      </c>
      <c r="K45" s="109"/>
    </row>
    <row r="46" spans="2:11" ht="15" x14ac:dyDescent="0.25">
      <c r="B46" s="108">
        <v>44</v>
      </c>
      <c r="C46" s="109" t="s">
        <v>566</v>
      </c>
      <c r="D46" s="109" t="s">
        <v>591</v>
      </c>
      <c r="E46" s="109" t="s">
        <v>503</v>
      </c>
      <c r="F46" s="110" t="s">
        <v>67</v>
      </c>
      <c r="G46" s="111">
        <v>30384</v>
      </c>
      <c r="H46" s="109" t="s">
        <v>484</v>
      </c>
      <c r="I46" s="109" t="s">
        <v>72</v>
      </c>
      <c r="J46" s="109">
        <v>17025</v>
      </c>
      <c r="K46" s="109"/>
    </row>
    <row r="47" spans="2:11" ht="15" x14ac:dyDescent="0.25">
      <c r="B47" s="108">
        <v>45</v>
      </c>
      <c r="C47" s="109" t="s">
        <v>590</v>
      </c>
      <c r="D47" s="109" t="s">
        <v>565</v>
      </c>
      <c r="E47" s="109" t="s">
        <v>642</v>
      </c>
      <c r="F47" s="110" t="s">
        <v>69</v>
      </c>
      <c r="G47" s="111">
        <v>30564</v>
      </c>
      <c r="H47" s="109" t="s">
        <v>482</v>
      </c>
      <c r="I47" s="109" t="s">
        <v>75</v>
      </c>
      <c r="J47" s="109">
        <f t="shared" ref="J47:J54" si="1">J46+504</f>
        <v>17529</v>
      </c>
      <c r="K47" s="109"/>
    </row>
    <row r="48" spans="2:11" ht="15" x14ac:dyDescent="0.25">
      <c r="B48" s="108">
        <v>46</v>
      </c>
      <c r="C48" s="109" t="s">
        <v>587</v>
      </c>
      <c r="D48" s="109" t="s">
        <v>553</v>
      </c>
      <c r="E48" s="109" t="s">
        <v>554</v>
      </c>
      <c r="F48" s="110" t="s">
        <v>67</v>
      </c>
      <c r="G48" s="111">
        <v>34630</v>
      </c>
      <c r="H48" s="109" t="s">
        <v>484</v>
      </c>
      <c r="I48" s="109" t="s">
        <v>75</v>
      </c>
      <c r="J48" s="109">
        <f t="shared" si="1"/>
        <v>18033</v>
      </c>
      <c r="K48" s="109"/>
    </row>
    <row r="49" spans="2:11" ht="15" x14ac:dyDescent="0.25">
      <c r="B49" s="108">
        <v>47</v>
      </c>
      <c r="C49" s="109" t="s">
        <v>516</v>
      </c>
      <c r="D49" s="109" t="s">
        <v>517</v>
      </c>
      <c r="E49" s="109" t="s">
        <v>518</v>
      </c>
      <c r="F49" s="110" t="s">
        <v>69</v>
      </c>
      <c r="G49" s="111">
        <v>31122</v>
      </c>
      <c r="H49" s="109" t="s">
        <v>310</v>
      </c>
      <c r="I49" s="109" t="s">
        <v>75</v>
      </c>
      <c r="J49" s="109">
        <f t="shared" si="1"/>
        <v>18537</v>
      </c>
      <c r="K49" s="109"/>
    </row>
    <row r="50" spans="2:11" ht="15" x14ac:dyDescent="0.25">
      <c r="B50" s="108">
        <v>48</v>
      </c>
      <c r="C50" s="109" t="s">
        <v>541</v>
      </c>
      <c r="D50" s="109" t="s">
        <v>607</v>
      </c>
      <c r="E50" s="109" t="s">
        <v>632</v>
      </c>
      <c r="F50" s="110" t="s">
        <v>67</v>
      </c>
      <c r="G50" s="111">
        <v>29787</v>
      </c>
      <c r="H50" s="109" t="s">
        <v>483</v>
      </c>
      <c r="I50" s="109" t="s">
        <v>75</v>
      </c>
      <c r="J50" s="109">
        <f t="shared" si="1"/>
        <v>19041</v>
      </c>
      <c r="K50" s="109"/>
    </row>
    <row r="51" spans="2:11" ht="15" x14ac:dyDescent="0.25">
      <c r="B51" s="108">
        <v>49</v>
      </c>
      <c r="C51" s="109" t="s">
        <v>588</v>
      </c>
      <c r="D51" s="109" t="s">
        <v>613</v>
      </c>
      <c r="E51" s="109" t="s">
        <v>559</v>
      </c>
      <c r="F51" s="110" t="s">
        <v>67</v>
      </c>
      <c r="G51" s="111">
        <v>33048</v>
      </c>
      <c r="H51" s="109" t="s">
        <v>312</v>
      </c>
      <c r="I51" s="109" t="s">
        <v>75</v>
      </c>
      <c r="J51" s="109">
        <f t="shared" si="1"/>
        <v>19545</v>
      </c>
      <c r="K51" s="109"/>
    </row>
    <row r="52" spans="2:11" ht="15" x14ac:dyDescent="0.25">
      <c r="B52" s="108">
        <v>50</v>
      </c>
      <c r="C52" s="109" t="s">
        <v>555</v>
      </c>
      <c r="D52" s="109" t="s">
        <v>556</v>
      </c>
      <c r="E52" s="109" t="s">
        <v>557</v>
      </c>
      <c r="F52" s="110" t="s">
        <v>67</v>
      </c>
      <c r="G52" s="111">
        <v>31010</v>
      </c>
      <c r="H52" s="109" t="s">
        <v>482</v>
      </c>
      <c r="I52" s="109" t="s">
        <v>75</v>
      </c>
      <c r="J52" s="109">
        <f t="shared" si="1"/>
        <v>20049</v>
      </c>
      <c r="K52" s="109"/>
    </row>
    <row r="53" spans="2:11" ht="15" x14ac:dyDescent="0.25">
      <c r="B53" s="108">
        <v>51</v>
      </c>
      <c r="C53" s="109" t="s">
        <v>519</v>
      </c>
      <c r="D53" s="109" t="s">
        <v>520</v>
      </c>
      <c r="E53" s="109" t="s">
        <v>328</v>
      </c>
      <c r="F53" s="110" t="s">
        <v>67</v>
      </c>
      <c r="G53" s="111">
        <v>34161</v>
      </c>
      <c r="H53" s="109" t="s">
        <v>312</v>
      </c>
      <c r="I53" s="109" t="s">
        <v>75</v>
      </c>
      <c r="J53" s="109">
        <f t="shared" si="1"/>
        <v>20553</v>
      </c>
      <c r="K53" s="109"/>
    </row>
    <row r="54" spans="2:11" ht="15" x14ac:dyDescent="0.25">
      <c r="B54" s="108">
        <v>52</v>
      </c>
      <c r="C54" s="109" t="s">
        <v>514</v>
      </c>
      <c r="D54" s="109" t="s">
        <v>515</v>
      </c>
      <c r="E54" s="109" t="s">
        <v>431</v>
      </c>
      <c r="F54" s="110" t="s">
        <v>67</v>
      </c>
      <c r="G54" s="111">
        <v>30274</v>
      </c>
      <c r="H54" s="109" t="s">
        <v>482</v>
      </c>
      <c r="I54" s="109" t="s">
        <v>75</v>
      </c>
      <c r="J54" s="109">
        <f t="shared" si="1"/>
        <v>21057</v>
      </c>
      <c r="K54" s="109"/>
    </row>
    <row r="55" spans="2:11" ht="15" x14ac:dyDescent="0.25">
      <c r="B55" s="108">
        <v>53</v>
      </c>
      <c r="C55" s="109" t="s">
        <v>558</v>
      </c>
      <c r="D55" s="109" t="s">
        <v>607</v>
      </c>
      <c r="E55" s="109" t="s">
        <v>638</v>
      </c>
      <c r="F55" s="110" t="s">
        <v>69</v>
      </c>
      <c r="G55" s="111">
        <v>31745</v>
      </c>
      <c r="H55" s="109" t="s">
        <v>482</v>
      </c>
      <c r="I55" s="109" t="s">
        <v>72</v>
      </c>
      <c r="J55" s="109">
        <v>9500</v>
      </c>
      <c r="K55" s="109"/>
    </row>
    <row r="56" spans="2:11" ht="15" x14ac:dyDescent="0.25">
      <c r="B56" s="108">
        <v>54</v>
      </c>
      <c r="C56" s="109" t="s">
        <v>569</v>
      </c>
      <c r="D56" s="109" t="s">
        <v>506</v>
      </c>
      <c r="E56" s="109" t="s">
        <v>507</v>
      </c>
      <c r="F56" s="110" t="s">
        <v>67</v>
      </c>
      <c r="G56" s="111">
        <v>29492</v>
      </c>
      <c r="H56" s="109" t="s">
        <v>311</v>
      </c>
      <c r="I56" s="109" t="s">
        <v>75</v>
      </c>
      <c r="J56" s="109">
        <v>9300</v>
      </c>
      <c r="K56" s="109" t="s">
        <v>657</v>
      </c>
    </row>
    <row r="57" spans="2:11" ht="15" x14ac:dyDescent="0.25">
      <c r="B57" s="108">
        <v>55</v>
      </c>
      <c r="C57" s="109" t="s">
        <v>567</v>
      </c>
      <c r="D57" s="109" t="s">
        <v>504</v>
      </c>
      <c r="E57" s="109" t="s">
        <v>505</v>
      </c>
      <c r="F57" s="110" t="s">
        <v>67</v>
      </c>
      <c r="G57" s="111">
        <v>33582</v>
      </c>
      <c r="H57" s="109" t="s">
        <v>311</v>
      </c>
      <c r="I57" s="109" t="s">
        <v>75</v>
      </c>
      <c r="J57" s="109">
        <v>9300</v>
      </c>
      <c r="K57" s="109" t="s">
        <v>658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DCBD-D5D2-4861-93C5-14CA40598AB6}">
  <dimension ref="B1:I168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12.6640625" style="1" bestFit="1" customWidth="1"/>
    <col min="3" max="3" width="16.6640625" style="1" customWidth="1"/>
    <col min="4" max="4" width="26.6640625" style="1" bestFit="1" customWidth="1"/>
    <col min="5" max="5" width="16.5546875" style="1" bestFit="1" customWidth="1"/>
    <col min="6" max="6" width="15.33203125" style="1" bestFit="1" customWidth="1"/>
    <col min="7" max="7" width="26" style="1" bestFit="1" customWidth="1"/>
    <col min="8" max="8" width="4.88671875" style="1" customWidth="1"/>
    <col min="9" max="16384" width="9.109375" style="1"/>
  </cols>
  <sheetData>
    <row r="1" spans="2:9" ht="15" thickBot="1" x14ac:dyDescent="0.35"/>
    <row r="2" spans="2:9" ht="43.5" customHeight="1" x14ac:dyDescent="0.35">
      <c r="B2" s="12" t="s">
        <v>85</v>
      </c>
      <c r="C2" s="13" t="s">
        <v>240</v>
      </c>
      <c r="D2" s="13" t="s">
        <v>241</v>
      </c>
      <c r="E2" s="13" t="s">
        <v>242</v>
      </c>
      <c r="F2" s="13" t="s">
        <v>243</v>
      </c>
      <c r="G2" s="14" t="s">
        <v>244</v>
      </c>
      <c r="I2" s="2" t="s">
        <v>9</v>
      </c>
    </row>
    <row r="3" spans="2:9" ht="18" x14ac:dyDescent="0.35">
      <c r="B3" s="15" t="str">
        <f ca="1">"10.01."&amp;YEAR(TODAY())</f>
        <v>10.01.2022</v>
      </c>
      <c r="C3" s="16" t="s">
        <v>86</v>
      </c>
      <c r="D3" s="17" t="s">
        <v>87</v>
      </c>
      <c r="E3" s="17">
        <v>2</v>
      </c>
      <c r="F3" s="17">
        <v>6600</v>
      </c>
      <c r="G3" s="18" t="s">
        <v>245</v>
      </c>
      <c r="I3" s="3" t="s">
        <v>659</v>
      </c>
    </row>
    <row r="4" spans="2:9" ht="18" x14ac:dyDescent="0.35">
      <c r="B4" s="15" t="str">
        <f ca="1">"11.01."&amp;YEAR(TODAY())</f>
        <v>11.01.2022</v>
      </c>
      <c r="C4" s="16" t="s">
        <v>88</v>
      </c>
      <c r="D4" s="17" t="s">
        <v>87</v>
      </c>
      <c r="E4" s="17">
        <v>2</v>
      </c>
      <c r="F4" s="17">
        <v>6600</v>
      </c>
      <c r="G4" s="18" t="s">
        <v>246</v>
      </c>
      <c r="I4" s="10" t="s">
        <v>258</v>
      </c>
    </row>
    <row r="5" spans="2:9" ht="18" x14ac:dyDescent="0.35">
      <c r="B5" s="15" t="str">
        <f ca="1">"12.01."&amp;YEAR(TODAY())</f>
        <v>12.01.2022</v>
      </c>
      <c r="C5" s="16" t="s">
        <v>89</v>
      </c>
      <c r="D5" s="17" t="s">
        <v>661</v>
      </c>
      <c r="E5" s="17">
        <v>2</v>
      </c>
      <c r="F5" s="17">
        <v>19600</v>
      </c>
      <c r="G5" s="18" t="s">
        <v>247</v>
      </c>
      <c r="I5" s="10"/>
    </row>
    <row r="6" spans="2:9" ht="18" x14ac:dyDescent="0.35">
      <c r="B6" s="15" t="str">
        <f ca="1">"12.01."&amp;YEAR(TODAY())</f>
        <v>12.01.2022</v>
      </c>
      <c r="C6" s="16" t="s">
        <v>89</v>
      </c>
      <c r="D6" s="17" t="s">
        <v>661</v>
      </c>
      <c r="E6" s="17">
        <v>2</v>
      </c>
      <c r="F6" s="17">
        <v>19600</v>
      </c>
      <c r="G6" s="18" t="s">
        <v>247</v>
      </c>
      <c r="I6" s="3" t="s">
        <v>259</v>
      </c>
    </row>
    <row r="7" spans="2:9" ht="15.6" x14ac:dyDescent="0.3">
      <c r="B7" s="15" t="str">
        <f ca="1">"13.01."&amp;YEAR(TODAY())</f>
        <v>13.01.2022</v>
      </c>
      <c r="C7" s="16" t="s">
        <v>90</v>
      </c>
      <c r="D7" s="17" t="s">
        <v>661</v>
      </c>
      <c r="E7" s="17">
        <v>2</v>
      </c>
      <c r="F7" s="17">
        <v>19600</v>
      </c>
      <c r="G7" s="18" t="s">
        <v>248</v>
      </c>
    </row>
    <row r="8" spans="2:9" ht="15.6" x14ac:dyDescent="0.3">
      <c r="B8" s="15" t="str">
        <f ca="1">"14.01."&amp;YEAR(TODAY())</f>
        <v>14.01.2022</v>
      </c>
      <c r="C8" s="16" t="s">
        <v>91</v>
      </c>
      <c r="D8" s="17" t="s">
        <v>662</v>
      </c>
      <c r="E8" s="17">
        <v>2</v>
      </c>
      <c r="F8" s="17">
        <v>600</v>
      </c>
      <c r="G8" s="18" t="s">
        <v>249</v>
      </c>
    </row>
    <row r="9" spans="2:9" ht="15.6" x14ac:dyDescent="0.3">
      <c r="B9" s="15" t="str">
        <f ca="1">"15.01."&amp;YEAR(TODAY())</f>
        <v>15.01.2022</v>
      </c>
      <c r="C9" s="16" t="s">
        <v>92</v>
      </c>
      <c r="D9" s="17" t="s">
        <v>662</v>
      </c>
      <c r="E9" s="17">
        <v>2</v>
      </c>
      <c r="F9" s="17">
        <v>600</v>
      </c>
      <c r="G9" s="18" t="s">
        <v>250</v>
      </c>
    </row>
    <row r="10" spans="2:9" ht="15.6" x14ac:dyDescent="0.3">
      <c r="B10" s="15" t="str">
        <f ca="1">"18.01."&amp;YEAR(TODAY())</f>
        <v>18.01.2022</v>
      </c>
      <c r="C10" s="16" t="s">
        <v>93</v>
      </c>
      <c r="D10" s="17" t="s">
        <v>663</v>
      </c>
      <c r="E10" s="17">
        <v>3</v>
      </c>
      <c r="F10" s="17">
        <v>450</v>
      </c>
      <c r="G10" s="18" t="s">
        <v>249</v>
      </c>
    </row>
    <row r="11" spans="2:9" ht="15.6" x14ac:dyDescent="0.3">
      <c r="B11" s="15" t="str">
        <f ca="1">"19.01."&amp;YEAR(TODAY())</f>
        <v>19.01.2022</v>
      </c>
      <c r="C11" s="16" t="s">
        <v>94</v>
      </c>
      <c r="D11" s="17" t="s">
        <v>663</v>
      </c>
      <c r="E11" s="17">
        <v>3</v>
      </c>
      <c r="F11" s="17">
        <v>450</v>
      </c>
      <c r="G11" s="18" t="s">
        <v>250</v>
      </c>
    </row>
    <row r="12" spans="2:9" ht="15.6" x14ac:dyDescent="0.3">
      <c r="B12" s="15" t="str">
        <f ca="1">"20.01."&amp;YEAR(TODAY())</f>
        <v>20.01.2022</v>
      </c>
      <c r="C12" s="16" t="s">
        <v>95</v>
      </c>
      <c r="D12" s="17" t="s">
        <v>663</v>
      </c>
      <c r="E12" s="17">
        <v>3</v>
      </c>
      <c r="F12" s="17">
        <v>450</v>
      </c>
      <c r="G12" s="18" t="s">
        <v>249</v>
      </c>
    </row>
    <row r="13" spans="2:9" ht="15.6" x14ac:dyDescent="0.3">
      <c r="B13" s="15" t="str">
        <f ca="1">"21.01."&amp;YEAR(TODAY())</f>
        <v>21.01.2022</v>
      </c>
      <c r="C13" s="16" t="s">
        <v>96</v>
      </c>
      <c r="D13" s="17" t="s">
        <v>663</v>
      </c>
      <c r="E13" s="17">
        <v>3</v>
      </c>
      <c r="F13" s="17">
        <v>450</v>
      </c>
      <c r="G13" s="18" t="s">
        <v>250</v>
      </c>
    </row>
    <row r="14" spans="2:9" ht="15.6" x14ac:dyDescent="0.3">
      <c r="B14" s="15" t="str">
        <f ca="1">"22.01."&amp;YEAR(TODAY())</f>
        <v>22.01.2022</v>
      </c>
      <c r="C14" s="16" t="s">
        <v>97</v>
      </c>
      <c r="D14" s="17" t="s">
        <v>662</v>
      </c>
      <c r="E14" s="17">
        <v>5</v>
      </c>
      <c r="F14" s="17">
        <v>1250</v>
      </c>
      <c r="G14" s="18" t="s">
        <v>254</v>
      </c>
    </row>
    <row r="15" spans="2:9" ht="15.6" x14ac:dyDescent="0.3">
      <c r="B15" s="15" t="str">
        <f ca="1">"25.01."&amp;YEAR(TODAY())</f>
        <v>25.01.2022</v>
      </c>
      <c r="C15" s="16" t="s">
        <v>98</v>
      </c>
      <c r="D15" s="17" t="s">
        <v>662</v>
      </c>
      <c r="E15" s="17">
        <v>5</v>
      </c>
      <c r="F15" s="17">
        <v>1250</v>
      </c>
      <c r="G15" s="18" t="s">
        <v>255</v>
      </c>
    </row>
    <row r="16" spans="2:9" ht="15.6" x14ac:dyDescent="0.3">
      <c r="B16" s="15" t="str">
        <f ca="1">"26.01."&amp;YEAR(TODAY())</f>
        <v>26.01.2022</v>
      </c>
      <c r="C16" s="16" t="s">
        <v>99</v>
      </c>
      <c r="D16" s="17" t="s">
        <v>100</v>
      </c>
      <c r="E16" s="17">
        <v>7</v>
      </c>
      <c r="F16" s="17">
        <v>45500</v>
      </c>
      <c r="G16" s="18" t="s">
        <v>249</v>
      </c>
    </row>
    <row r="17" spans="2:7" ht="15.6" x14ac:dyDescent="0.3">
      <c r="B17" s="15" t="str">
        <f ca="1">"26.01."&amp;YEAR(TODAY())</f>
        <v>26.01.2022</v>
      </c>
      <c r="C17" s="16" t="s">
        <v>99</v>
      </c>
      <c r="D17" s="17" t="s">
        <v>100</v>
      </c>
      <c r="E17" s="17">
        <v>7</v>
      </c>
      <c r="F17" s="17">
        <v>45500</v>
      </c>
      <c r="G17" s="18" t="s">
        <v>251</v>
      </c>
    </row>
    <row r="18" spans="2:7" ht="15.6" x14ac:dyDescent="0.3">
      <c r="B18" s="15" t="str">
        <f ca="1">"27.01."&amp;YEAR(TODAY())</f>
        <v>27.01.2022</v>
      </c>
      <c r="C18" s="16" t="s">
        <v>101</v>
      </c>
      <c r="D18" s="17" t="s">
        <v>100</v>
      </c>
      <c r="E18" s="17">
        <v>7</v>
      </c>
      <c r="F18" s="17">
        <v>45500</v>
      </c>
      <c r="G18" s="18" t="s">
        <v>250</v>
      </c>
    </row>
    <row r="19" spans="2:7" ht="15.6" x14ac:dyDescent="0.3">
      <c r="B19" s="15" t="str">
        <f ca="1">"28.01."&amp;YEAR(TODAY())</f>
        <v>28.01.2022</v>
      </c>
      <c r="C19" s="16" t="s">
        <v>102</v>
      </c>
      <c r="D19" s="17" t="s">
        <v>100</v>
      </c>
      <c r="E19" s="17">
        <v>1</v>
      </c>
      <c r="F19" s="17">
        <v>6500</v>
      </c>
      <c r="G19" s="18" t="s">
        <v>245</v>
      </c>
    </row>
    <row r="20" spans="2:7" ht="15.6" x14ac:dyDescent="0.3">
      <c r="B20" s="15" t="str">
        <f ca="1">"29.01."&amp;YEAR(TODAY())</f>
        <v>29.01.2022</v>
      </c>
      <c r="C20" s="16" t="s">
        <v>103</v>
      </c>
      <c r="D20" s="17" t="s">
        <v>100</v>
      </c>
      <c r="E20" s="17">
        <v>1</v>
      </c>
      <c r="F20" s="17">
        <v>6500</v>
      </c>
      <c r="G20" s="18" t="s">
        <v>246</v>
      </c>
    </row>
    <row r="21" spans="2:7" ht="15.6" x14ac:dyDescent="0.3">
      <c r="B21" s="15" t="str">
        <f ca="1">"01.02."&amp;YEAR(TODAY())</f>
        <v>01.02.2022</v>
      </c>
      <c r="C21" s="16" t="s">
        <v>104</v>
      </c>
      <c r="D21" s="17" t="s">
        <v>662</v>
      </c>
      <c r="E21" s="17">
        <v>2</v>
      </c>
      <c r="F21" s="17">
        <v>600</v>
      </c>
      <c r="G21" s="18" t="s">
        <v>252</v>
      </c>
    </row>
    <row r="22" spans="2:7" ht="15.6" x14ac:dyDescent="0.3">
      <c r="B22" s="15" t="str">
        <f ca="1">"02.02."&amp;YEAR(TODAY())</f>
        <v>02.02.2022</v>
      </c>
      <c r="C22" s="16" t="s">
        <v>105</v>
      </c>
      <c r="D22" s="17" t="s">
        <v>662</v>
      </c>
      <c r="E22" s="17">
        <v>2</v>
      </c>
      <c r="F22" s="17">
        <v>600</v>
      </c>
      <c r="G22" s="18" t="s">
        <v>253</v>
      </c>
    </row>
    <row r="23" spans="2:7" ht="15.6" x14ac:dyDescent="0.3">
      <c r="B23" s="15" t="str">
        <f ca="1">"03.02."&amp;YEAR(TODAY())</f>
        <v>03.02.2022</v>
      </c>
      <c r="C23" s="16" t="s">
        <v>106</v>
      </c>
      <c r="D23" s="17" t="s">
        <v>664</v>
      </c>
      <c r="E23" s="17">
        <v>2</v>
      </c>
      <c r="F23" s="17">
        <v>14500</v>
      </c>
      <c r="G23" s="18" t="s">
        <v>256</v>
      </c>
    </row>
    <row r="24" spans="2:7" ht="15.6" x14ac:dyDescent="0.3">
      <c r="B24" s="15" t="str">
        <f ca="1">"04.02."&amp;YEAR(TODAY())</f>
        <v>04.02.2022</v>
      </c>
      <c r="C24" s="16" t="s">
        <v>107</v>
      </c>
      <c r="D24" s="17" t="s">
        <v>664</v>
      </c>
      <c r="E24" s="17">
        <v>2</v>
      </c>
      <c r="F24" s="17">
        <v>14500</v>
      </c>
      <c r="G24" s="18" t="s">
        <v>257</v>
      </c>
    </row>
    <row r="25" spans="2:7" ht="15.6" x14ac:dyDescent="0.3">
      <c r="B25" s="15" t="str">
        <f ca="1">"05.02."&amp;YEAR(TODAY())</f>
        <v>05.02.2022</v>
      </c>
      <c r="C25" s="16" t="s">
        <v>108</v>
      </c>
      <c r="D25" s="17" t="s">
        <v>109</v>
      </c>
      <c r="E25" s="17">
        <v>3</v>
      </c>
      <c r="F25" s="17">
        <v>3750</v>
      </c>
      <c r="G25" s="18" t="s">
        <v>252</v>
      </c>
    </row>
    <row r="26" spans="2:7" ht="15.6" x14ac:dyDescent="0.3">
      <c r="B26" s="15" t="str">
        <f ca="1">"08.02."&amp;YEAR(TODAY())</f>
        <v>08.02.2022</v>
      </c>
      <c r="C26" s="16" t="s">
        <v>110</v>
      </c>
      <c r="D26" s="17" t="s">
        <v>109</v>
      </c>
      <c r="E26" s="17">
        <v>3</v>
      </c>
      <c r="F26" s="17">
        <v>3750</v>
      </c>
      <c r="G26" s="18" t="s">
        <v>253</v>
      </c>
    </row>
    <row r="27" spans="2:7" ht="15.6" x14ac:dyDescent="0.3">
      <c r="B27" s="15" t="str">
        <f ca="1">"09.02."&amp;YEAR(TODAY())</f>
        <v>09.02.2022</v>
      </c>
      <c r="C27" s="16" t="s">
        <v>111</v>
      </c>
      <c r="D27" s="17" t="s">
        <v>109</v>
      </c>
      <c r="E27" s="17">
        <v>3</v>
      </c>
      <c r="F27" s="17">
        <v>3750</v>
      </c>
      <c r="G27" s="18" t="s">
        <v>252</v>
      </c>
    </row>
    <row r="28" spans="2:7" ht="15.6" x14ac:dyDescent="0.3">
      <c r="B28" s="15" t="str">
        <f ca="1">"09.02."&amp;YEAR(TODAY())</f>
        <v>09.02.2022</v>
      </c>
      <c r="C28" s="16" t="s">
        <v>111</v>
      </c>
      <c r="D28" s="17" t="s">
        <v>109</v>
      </c>
      <c r="E28" s="17">
        <v>3</v>
      </c>
      <c r="F28" s="17">
        <v>3750</v>
      </c>
      <c r="G28" s="18" t="s">
        <v>252</v>
      </c>
    </row>
    <row r="29" spans="2:7" ht="15.6" x14ac:dyDescent="0.3">
      <c r="B29" s="15" t="str">
        <f ca="1">"10.02."&amp;YEAR(TODAY())</f>
        <v>10.02.2022</v>
      </c>
      <c r="C29" s="16" t="s">
        <v>112</v>
      </c>
      <c r="D29" s="17" t="s">
        <v>109</v>
      </c>
      <c r="E29" s="17">
        <v>3</v>
      </c>
      <c r="F29" s="17">
        <v>3750</v>
      </c>
      <c r="G29" s="18" t="s">
        <v>253</v>
      </c>
    </row>
    <row r="30" spans="2:7" ht="15.6" x14ac:dyDescent="0.3">
      <c r="B30" s="15" t="str">
        <f ca="1">"11.02."&amp;YEAR(TODAY())</f>
        <v>11.02.2022</v>
      </c>
      <c r="C30" s="16" t="s">
        <v>113</v>
      </c>
      <c r="D30" s="17" t="s">
        <v>663</v>
      </c>
      <c r="E30" s="17">
        <v>6</v>
      </c>
      <c r="F30" s="17">
        <v>7500</v>
      </c>
      <c r="G30" s="18" t="s">
        <v>247</v>
      </c>
    </row>
    <row r="31" spans="2:7" ht="15.6" x14ac:dyDescent="0.3">
      <c r="B31" s="15" t="str">
        <f ca="1">"12.02."&amp;YEAR(TODAY())</f>
        <v>12.02.2022</v>
      </c>
      <c r="C31" s="16" t="s">
        <v>114</v>
      </c>
      <c r="D31" s="17" t="s">
        <v>100</v>
      </c>
      <c r="E31" s="17">
        <v>6</v>
      </c>
      <c r="F31" s="17">
        <v>39000</v>
      </c>
      <c r="G31" s="18" t="s">
        <v>247</v>
      </c>
    </row>
    <row r="32" spans="2:7" ht="15.6" x14ac:dyDescent="0.3">
      <c r="B32" s="15" t="str">
        <f ca="1">"15.02."&amp;YEAR(TODAY())</f>
        <v>15.02.2022</v>
      </c>
      <c r="C32" s="16" t="s">
        <v>115</v>
      </c>
      <c r="D32" s="17" t="s">
        <v>663</v>
      </c>
      <c r="E32" s="17">
        <v>6</v>
      </c>
      <c r="F32" s="17">
        <v>7500</v>
      </c>
      <c r="G32" s="18" t="s">
        <v>248</v>
      </c>
    </row>
    <row r="33" spans="2:7" ht="15.6" x14ac:dyDescent="0.3">
      <c r="B33" s="15" t="str">
        <f ca="1">"16.02."&amp;YEAR(TODAY())</f>
        <v>16.02.2022</v>
      </c>
      <c r="C33" s="16" t="s">
        <v>116</v>
      </c>
      <c r="D33" s="17" t="s">
        <v>100</v>
      </c>
      <c r="E33" s="17">
        <v>6</v>
      </c>
      <c r="F33" s="17">
        <v>39000</v>
      </c>
      <c r="G33" s="18" t="s">
        <v>248</v>
      </c>
    </row>
    <row r="34" spans="2:7" ht="15.6" x14ac:dyDescent="0.3">
      <c r="B34" s="15" t="str">
        <f ca="1">"17.02."&amp;YEAR(TODAY())</f>
        <v>17.02.2022</v>
      </c>
      <c r="C34" s="16" t="s">
        <v>117</v>
      </c>
      <c r="D34" s="17" t="s">
        <v>87</v>
      </c>
      <c r="E34" s="17">
        <v>1</v>
      </c>
      <c r="F34" s="17">
        <v>3300</v>
      </c>
      <c r="G34" s="18" t="s">
        <v>252</v>
      </c>
    </row>
    <row r="35" spans="2:7" ht="15.6" x14ac:dyDescent="0.3">
      <c r="B35" s="15" t="str">
        <f ca="1">"18.02."&amp;YEAR(TODAY())</f>
        <v>18.02.2022</v>
      </c>
      <c r="C35" s="16" t="s">
        <v>118</v>
      </c>
      <c r="D35" s="17" t="s">
        <v>87</v>
      </c>
      <c r="E35" s="17">
        <v>1</v>
      </c>
      <c r="F35" s="17">
        <v>3300</v>
      </c>
      <c r="G35" s="18" t="s">
        <v>253</v>
      </c>
    </row>
    <row r="36" spans="2:7" ht="15.6" x14ac:dyDescent="0.3">
      <c r="B36" s="15" t="str">
        <f ca="1">"19.02."&amp;YEAR(TODAY())</f>
        <v>19.02.2022</v>
      </c>
      <c r="C36" s="16" t="s">
        <v>119</v>
      </c>
      <c r="D36" s="17" t="s">
        <v>109</v>
      </c>
      <c r="E36" s="17">
        <v>2</v>
      </c>
      <c r="F36" s="17">
        <v>2500</v>
      </c>
      <c r="G36" s="18" t="s">
        <v>254</v>
      </c>
    </row>
    <row r="37" spans="2:7" ht="15.6" x14ac:dyDescent="0.3">
      <c r="B37" s="15" t="str">
        <f ca="1">"22.02."&amp;YEAR(TODAY())</f>
        <v>22.02.2022</v>
      </c>
      <c r="C37" s="16" t="s">
        <v>120</v>
      </c>
      <c r="D37" s="17" t="s">
        <v>109</v>
      </c>
      <c r="E37" s="17">
        <v>2</v>
      </c>
      <c r="F37" s="17">
        <v>2500</v>
      </c>
      <c r="G37" s="18" t="s">
        <v>255</v>
      </c>
    </row>
    <row r="38" spans="2:7" ht="15.6" x14ac:dyDescent="0.3">
      <c r="B38" s="15" t="str">
        <f ca="1">"23.02."&amp;YEAR(TODAY())</f>
        <v>23.02.2022</v>
      </c>
      <c r="C38" s="16" t="s">
        <v>121</v>
      </c>
      <c r="D38" s="17" t="s">
        <v>663</v>
      </c>
      <c r="E38" s="17">
        <v>6</v>
      </c>
      <c r="F38" s="17">
        <v>900</v>
      </c>
      <c r="G38" s="18" t="s">
        <v>256</v>
      </c>
    </row>
    <row r="39" spans="2:7" ht="15.6" x14ac:dyDescent="0.3">
      <c r="B39" s="15" t="str">
        <f ca="1">"23.02."&amp;YEAR(TODAY())</f>
        <v>23.02.2022</v>
      </c>
      <c r="C39" s="16" t="s">
        <v>121</v>
      </c>
      <c r="D39" s="17" t="s">
        <v>663</v>
      </c>
      <c r="E39" s="17">
        <v>6</v>
      </c>
      <c r="F39" s="17">
        <v>900</v>
      </c>
      <c r="G39" s="18" t="s">
        <v>256</v>
      </c>
    </row>
    <row r="40" spans="2:7" ht="15.6" x14ac:dyDescent="0.3">
      <c r="B40" s="15" t="str">
        <f ca="1">"24.02."&amp;YEAR(TODAY())</f>
        <v>24.02.2022</v>
      </c>
      <c r="C40" s="16" t="s">
        <v>122</v>
      </c>
      <c r="D40" s="17" t="s">
        <v>663</v>
      </c>
      <c r="E40" s="17">
        <v>6</v>
      </c>
      <c r="F40" s="17">
        <v>900</v>
      </c>
      <c r="G40" s="18" t="s">
        <v>257</v>
      </c>
    </row>
    <row r="41" spans="2:7" ht="15.6" x14ac:dyDescent="0.3">
      <c r="B41" s="15" t="str">
        <f ca="1">"25.02."&amp;YEAR(TODAY())</f>
        <v>25.02.2022</v>
      </c>
      <c r="C41" s="16" t="s">
        <v>123</v>
      </c>
      <c r="D41" s="17" t="s">
        <v>663</v>
      </c>
      <c r="E41" s="17">
        <v>5</v>
      </c>
      <c r="F41" s="17">
        <v>750</v>
      </c>
      <c r="G41" s="18" t="s">
        <v>256</v>
      </c>
    </row>
    <row r="42" spans="2:7" ht="15.6" x14ac:dyDescent="0.3">
      <c r="B42" s="15" t="str">
        <f ca="1">"26.02."&amp;YEAR(TODAY())</f>
        <v>26.02.2022</v>
      </c>
      <c r="C42" s="16" t="s">
        <v>124</v>
      </c>
      <c r="D42" s="17" t="s">
        <v>663</v>
      </c>
      <c r="E42" s="17">
        <v>5</v>
      </c>
      <c r="F42" s="17">
        <v>750</v>
      </c>
      <c r="G42" s="18" t="s">
        <v>257</v>
      </c>
    </row>
    <row r="43" spans="2:7" ht="15.6" x14ac:dyDescent="0.3">
      <c r="B43" s="15" t="str">
        <f ca="1">"01.03."&amp;YEAR(TODAY())</f>
        <v>01.03.2022</v>
      </c>
      <c r="C43" s="16" t="s">
        <v>125</v>
      </c>
      <c r="D43" s="17" t="s">
        <v>661</v>
      </c>
      <c r="E43" s="17">
        <v>10</v>
      </c>
      <c r="F43" s="17">
        <v>98000</v>
      </c>
      <c r="G43" s="18" t="s">
        <v>252</v>
      </c>
    </row>
    <row r="44" spans="2:7" ht="15.6" x14ac:dyDescent="0.3">
      <c r="B44" s="15" t="str">
        <f ca="1">"02.03."&amp;YEAR(TODAY())</f>
        <v>02.03.2022</v>
      </c>
      <c r="C44" s="16" t="s">
        <v>126</v>
      </c>
      <c r="D44" s="17" t="s">
        <v>661</v>
      </c>
      <c r="E44" s="17">
        <v>10</v>
      </c>
      <c r="F44" s="17">
        <v>98000</v>
      </c>
      <c r="G44" s="18" t="s">
        <v>253</v>
      </c>
    </row>
    <row r="45" spans="2:7" ht="15.6" x14ac:dyDescent="0.3">
      <c r="B45" s="15" t="str">
        <f ca="1">"03.03."&amp;YEAR(TODAY())</f>
        <v>03.03.2022</v>
      </c>
      <c r="C45" s="16" t="s">
        <v>127</v>
      </c>
      <c r="D45" s="17" t="s">
        <v>100</v>
      </c>
      <c r="E45" s="17">
        <v>1</v>
      </c>
      <c r="F45" s="17">
        <v>1250</v>
      </c>
      <c r="G45" s="18" t="s">
        <v>245</v>
      </c>
    </row>
    <row r="46" spans="2:7" ht="15.6" x14ac:dyDescent="0.3">
      <c r="B46" s="15" t="str">
        <f ca="1">"04.03."&amp;YEAR(TODAY())</f>
        <v>04.03.2022</v>
      </c>
      <c r="C46" s="16" t="s">
        <v>128</v>
      </c>
      <c r="D46" s="17" t="s">
        <v>100</v>
      </c>
      <c r="E46" s="17">
        <v>1</v>
      </c>
      <c r="F46" s="17">
        <v>1250</v>
      </c>
      <c r="G46" s="18" t="s">
        <v>246</v>
      </c>
    </row>
    <row r="47" spans="2:7" ht="15.6" x14ac:dyDescent="0.3">
      <c r="B47" s="15" t="str">
        <f ca="1">"05.03."&amp;YEAR(TODAY())</f>
        <v>05.03.2022</v>
      </c>
      <c r="C47" s="16" t="s">
        <v>129</v>
      </c>
      <c r="D47" s="17" t="s">
        <v>87</v>
      </c>
      <c r="E47" s="17">
        <v>5</v>
      </c>
      <c r="F47" s="17">
        <v>16500</v>
      </c>
      <c r="G47" s="18" t="s">
        <v>254</v>
      </c>
    </row>
    <row r="48" spans="2:7" ht="15.6" x14ac:dyDescent="0.3">
      <c r="B48" s="15" t="str">
        <f ca="1">"08.03."&amp;YEAR(TODAY())</f>
        <v>08.03.2022</v>
      </c>
      <c r="C48" s="16" t="s">
        <v>130</v>
      </c>
      <c r="D48" s="17" t="s">
        <v>87</v>
      </c>
      <c r="E48" s="17">
        <v>5</v>
      </c>
      <c r="F48" s="17">
        <v>16500</v>
      </c>
      <c r="G48" s="18" t="s">
        <v>255</v>
      </c>
    </row>
    <row r="49" spans="2:7" ht="15.6" x14ac:dyDescent="0.3">
      <c r="B49" s="15" t="str">
        <f ca="1">"09.03."&amp;YEAR(TODAY())</f>
        <v>09.03.2022</v>
      </c>
      <c r="C49" s="16" t="s">
        <v>131</v>
      </c>
      <c r="D49" s="17" t="s">
        <v>109</v>
      </c>
      <c r="E49" s="17">
        <v>8</v>
      </c>
      <c r="F49" s="17">
        <v>10000</v>
      </c>
      <c r="G49" s="18" t="s">
        <v>256</v>
      </c>
    </row>
    <row r="50" spans="2:7" ht="15.6" x14ac:dyDescent="0.3">
      <c r="B50" s="15" t="str">
        <f ca="1">"09.03."&amp;YEAR(TODAY())</f>
        <v>09.03.2022</v>
      </c>
      <c r="C50" s="16" t="s">
        <v>131</v>
      </c>
      <c r="D50" s="17" t="s">
        <v>109</v>
      </c>
      <c r="E50" s="17">
        <v>8</v>
      </c>
      <c r="F50" s="17">
        <v>10000</v>
      </c>
      <c r="G50" s="18" t="s">
        <v>256</v>
      </c>
    </row>
    <row r="51" spans="2:7" ht="15.6" x14ac:dyDescent="0.3">
      <c r="B51" s="15" t="str">
        <f ca="1">"10.03."&amp;YEAR(TODAY())</f>
        <v>10.03.2022</v>
      </c>
      <c r="C51" s="16" t="s">
        <v>132</v>
      </c>
      <c r="D51" s="17" t="s">
        <v>109</v>
      </c>
      <c r="E51" s="17">
        <v>8</v>
      </c>
      <c r="F51" s="17">
        <v>10000</v>
      </c>
      <c r="G51" s="18" t="s">
        <v>257</v>
      </c>
    </row>
    <row r="52" spans="2:7" ht="15.6" x14ac:dyDescent="0.3">
      <c r="B52" s="15" t="str">
        <f ca="1">"11.03."&amp;YEAR(TODAY())</f>
        <v>11.03.2022</v>
      </c>
      <c r="C52" s="16" t="s">
        <v>133</v>
      </c>
      <c r="D52" s="17" t="s">
        <v>664</v>
      </c>
      <c r="E52" s="17">
        <v>3</v>
      </c>
      <c r="F52" s="17">
        <v>21750</v>
      </c>
      <c r="G52" s="18" t="s">
        <v>252</v>
      </c>
    </row>
    <row r="53" spans="2:7" ht="15.6" x14ac:dyDescent="0.3">
      <c r="B53" s="15" t="str">
        <f ca="1">"12.03."&amp;YEAR(TODAY())</f>
        <v>12.03.2022</v>
      </c>
      <c r="C53" s="16" t="s">
        <v>134</v>
      </c>
      <c r="D53" s="17" t="s">
        <v>664</v>
      </c>
      <c r="E53" s="17">
        <v>3</v>
      </c>
      <c r="F53" s="17">
        <v>21750</v>
      </c>
      <c r="G53" s="18" t="s">
        <v>253</v>
      </c>
    </row>
    <row r="54" spans="2:7" ht="15.6" x14ac:dyDescent="0.3">
      <c r="B54" s="15" t="str">
        <f ca="1">"15.03."&amp;YEAR(TODAY())</f>
        <v>15.03.2022</v>
      </c>
      <c r="C54" s="16" t="s">
        <v>135</v>
      </c>
      <c r="D54" s="17" t="s">
        <v>664</v>
      </c>
      <c r="E54" s="17">
        <v>3</v>
      </c>
      <c r="F54" s="17">
        <v>21750</v>
      </c>
      <c r="G54" s="18" t="s">
        <v>252</v>
      </c>
    </row>
    <row r="55" spans="2:7" ht="15.6" x14ac:dyDescent="0.3">
      <c r="B55" s="15" t="str">
        <f ca="1">"16.03."&amp;YEAR(TODAY())</f>
        <v>16.03.2022</v>
      </c>
      <c r="C55" s="16" t="s">
        <v>136</v>
      </c>
      <c r="D55" s="17" t="s">
        <v>664</v>
      </c>
      <c r="E55" s="17">
        <v>3</v>
      </c>
      <c r="F55" s="17">
        <v>21750</v>
      </c>
      <c r="G55" s="18" t="s">
        <v>253</v>
      </c>
    </row>
    <row r="56" spans="2:7" ht="15.6" x14ac:dyDescent="0.3">
      <c r="B56" s="15" t="str">
        <f ca="1">"17.03."&amp;YEAR(TODAY())</f>
        <v>17.03.2022</v>
      </c>
      <c r="C56" s="16" t="s">
        <v>137</v>
      </c>
      <c r="D56" s="17" t="s">
        <v>663</v>
      </c>
      <c r="E56" s="17">
        <v>1</v>
      </c>
      <c r="F56" s="17">
        <v>150</v>
      </c>
      <c r="G56" s="18" t="s">
        <v>254</v>
      </c>
    </row>
    <row r="57" spans="2:7" ht="15.6" x14ac:dyDescent="0.3">
      <c r="B57" s="15" t="str">
        <f ca="1">"18.03."&amp;YEAR(TODAY())</f>
        <v>18.03.2022</v>
      </c>
      <c r="C57" s="16" t="s">
        <v>138</v>
      </c>
      <c r="D57" s="17" t="s">
        <v>663</v>
      </c>
      <c r="E57" s="17">
        <v>1</v>
      </c>
      <c r="F57" s="17">
        <v>150</v>
      </c>
      <c r="G57" s="18" t="s">
        <v>255</v>
      </c>
    </row>
    <row r="58" spans="2:7" ht="15.6" x14ac:dyDescent="0.3">
      <c r="B58" s="15" t="str">
        <f ca="1">"19.03."&amp;YEAR(TODAY())</f>
        <v>19.03.2022</v>
      </c>
      <c r="C58" s="16" t="s">
        <v>139</v>
      </c>
      <c r="D58" s="17" t="s">
        <v>662</v>
      </c>
      <c r="E58" s="17">
        <v>2</v>
      </c>
      <c r="F58" s="17">
        <v>600</v>
      </c>
      <c r="G58" s="18" t="s">
        <v>252</v>
      </c>
    </row>
    <row r="59" spans="2:7" ht="15.6" x14ac:dyDescent="0.3">
      <c r="B59" s="15" t="str">
        <f ca="1">"22.03."&amp;YEAR(TODAY())</f>
        <v>22.03.2022</v>
      </c>
      <c r="C59" s="16" t="s">
        <v>140</v>
      </c>
      <c r="D59" s="17" t="s">
        <v>662</v>
      </c>
      <c r="E59" s="17">
        <v>2</v>
      </c>
      <c r="F59" s="17">
        <v>600</v>
      </c>
      <c r="G59" s="18" t="s">
        <v>253</v>
      </c>
    </row>
    <row r="60" spans="2:7" ht="15.6" x14ac:dyDescent="0.3">
      <c r="B60" s="15" t="str">
        <f ca="1">"23.03."&amp;YEAR(TODAY())</f>
        <v>23.03.2022</v>
      </c>
      <c r="C60" s="16" t="s">
        <v>141</v>
      </c>
      <c r="D60" s="17" t="s">
        <v>100</v>
      </c>
      <c r="E60" s="17">
        <v>3</v>
      </c>
      <c r="F60" s="17">
        <v>19500</v>
      </c>
      <c r="G60" s="18" t="s">
        <v>249</v>
      </c>
    </row>
    <row r="61" spans="2:7" ht="15.6" x14ac:dyDescent="0.3">
      <c r="B61" s="15" t="str">
        <f ca="1">"23.03."&amp;YEAR(TODAY())</f>
        <v>23.03.2022</v>
      </c>
      <c r="C61" s="16" t="s">
        <v>141</v>
      </c>
      <c r="D61" s="17" t="s">
        <v>100</v>
      </c>
      <c r="E61" s="17">
        <v>3</v>
      </c>
      <c r="F61" s="17">
        <v>19500</v>
      </c>
      <c r="G61" s="18" t="s">
        <v>249</v>
      </c>
    </row>
    <row r="62" spans="2:7" ht="15.6" x14ac:dyDescent="0.3">
      <c r="B62" s="15" t="str">
        <f ca="1">"24.03."&amp;YEAR(TODAY())</f>
        <v>24.03.2022</v>
      </c>
      <c r="C62" s="16" t="s">
        <v>142</v>
      </c>
      <c r="D62" s="17" t="s">
        <v>100</v>
      </c>
      <c r="E62" s="17">
        <v>3</v>
      </c>
      <c r="F62" s="17">
        <v>19500</v>
      </c>
      <c r="G62" s="18" t="s">
        <v>250</v>
      </c>
    </row>
    <row r="63" spans="2:7" ht="15.6" x14ac:dyDescent="0.3">
      <c r="B63" s="15" t="str">
        <f ca="1">"25.03."&amp;YEAR(TODAY())</f>
        <v>25.03.2022</v>
      </c>
      <c r="C63" s="16" t="s">
        <v>143</v>
      </c>
      <c r="D63" s="17" t="s">
        <v>100</v>
      </c>
      <c r="E63" s="17">
        <v>3</v>
      </c>
      <c r="F63" s="17">
        <v>19500</v>
      </c>
      <c r="G63" s="18" t="s">
        <v>249</v>
      </c>
    </row>
    <row r="64" spans="2:7" ht="15.6" x14ac:dyDescent="0.3">
      <c r="B64" s="15" t="str">
        <f ca="1">"26.03."&amp;YEAR(TODAY())</f>
        <v>26.03.2022</v>
      </c>
      <c r="C64" s="16" t="s">
        <v>144</v>
      </c>
      <c r="D64" s="17" t="s">
        <v>100</v>
      </c>
      <c r="E64" s="17">
        <v>4</v>
      </c>
      <c r="F64" s="17">
        <v>26000</v>
      </c>
      <c r="G64" s="18" t="s">
        <v>257</v>
      </c>
    </row>
    <row r="65" spans="2:7" ht="15.6" x14ac:dyDescent="0.3">
      <c r="B65" s="15" t="str">
        <f ca="1">"29.03."&amp;YEAR(TODAY())</f>
        <v>29.03.2022</v>
      </c>
      <c r="C65" s="16" t="s">
        <v>145</v>
      </c>
      <c r="D65" s="17" t="s">
        <v>100</v>
      </c>
      <c r="E65" s="17">
        <v>2</v>
      </c>
      <c r="F65" s="17">
        <v>13000</v>
      </c>
      <c r="G65" s="18" t="s">
        <v>245</v>
      </c>
    </row>
    <row r="66" spans="2:7" ht="15.6" x14ac:dyDescent="0.3">
      <c r="B66" s="15" t="str">
        <f ca="1">"30.03."&amp;YEAR(TODAY())</f>
        <v>30.03.2022</v>
      </c>
      <c r="C66" s="16" t="s">
        <v>146</v>
      </c>
      <c r="D66" s="17" t="s">
        <v>100</v>
      </c>
      <c r="E66" s="17">
        <v>2</v>
      </c>
      <c r="F66" s="17">
        <v>13000</v>
      </c>
      <c r="G66" s="18" t="s">
        <v>246</v>
      </c>
    </row>
    <row r="67" spans="2:7" ht="15.6" x14ac:dyDescent="0.3">
      <c r="B67" s="15" t="str">
        <f ca="1">"31.03."&amp;YEAR(TODAY())</f>
        <v>31.03.2022</v>
      </c>
      <c r="C67" s="16" t="s">
        <v>147</v>
      </c>
      <c r="D67" s="17" t="s">
        <v>662</v>
      </c>
      <c r="E67" s="17">
        <v>3</v>
      </c>
      <c r="F67" s="17">
        <v>750</v>
      </c>
      <c r="G67" s="18" t="s">
        <v>245</v>
      </c>
    </row>
    <row r="68" spans="2:7" ht="15.6" x14ac:dyDescent="0.3">
      <c r="B68" s="15" t="str">
        <f ca="1">"01.04."&amp;YEAR(TODAY())</f>
        <v>01.04.2022</v>
      </c>
      <c r="C68" s="16" t="s">
        <v>148</v>
      </c>
      <c r="D68" s="17" t="s">
        <v>662</v>
      </c>
      <c r="E68" s="17">
        <v>3</v>
      </c>
      <c r="F68" s="17">
        <v>750</v>
      </c>
      <c r="G68" s="18" t="s">
        <v>246</v>
      </c>
    </row>
    <row r="69" spans="2:7" ht="15.6" x14ac:dyDescent="0.3">
      <c r="B69" s="15" t="str">
        <f ca="1">"02.04."&amp;YEAR(TODAY())</f>
        <v>02.04.2022</v>
      </c>
      <c r="C69" s="16" t="s">
        <v>149</v>
      </c>
      <c r="D69" s="17" t="s">
        <v>662</v>
      </c>
      <c r="E69" s="17">
        <v>3</v>
      </c>
      <c r="F69" s="17">
        <v>750</v>
      </c>
      <c r="G69" s="18" t="s">
        <v>249</v>
      </c>
    </row>
    <row r="70" spans="2:7" ht="15.6" x14ac:dyDescent="0.3">
      <c r="B70" s="15" t="str">
        <f ca="1">"05.04."&amp;YEAR(TODAY())</f>
        <v>05.04.2022</v>
      </c>
      <c r="C70" s="16" t="s">
        <v>150</v>
      </c>
      <c r="D70" s="17" t="s">
        <v>662</v>
      </c>
      <c r="E70" s="17">
        <v>3</v>
      </c>
      <c r="F70" s="17">
        <v>750</v>
      </c>
      <c r="G70" s="18" t="s">
        <v>250</v>
      </c>
    </row>
    <row r="71" spans="2:7" ht="15.6" x14ac:dyDescent="0.3">
      <c r="B71" s="15" t="str">
        <f ca="1">"06.04."&amp;YEAR(TODAY())</f>
        <v>06.04.2022</v>
      </c>
      <c r="C71" s="16" t="s">
        <v>151</v>
      </c>
      <c r="D71" s="17" t="s">
        <v>87</v>
      </c>
      <c r="E71" s="17">
        <v>3</v>
      </c>
      <c r="F71" s="17">
        <v>9900</v>
      </c>
      <c r="G71" s="18" t="s">
        <v>256</v>
      </c>
    </row>
    <row r="72" spans="2:7" ht="15.6" x14ac:dyDescent="0.3">
      <c r="B72" s="15" t="str">
        <f ca="1">"06.04."&amp;YEAR(TODAY())</f>
        <v>06.04.2022</v>
      </c>
      <c r="C72" s="16" t="s">
        <v>151</v>
      </c>
      <c r="D72" s="17" t="s">
        <v>87</v>
      </c>
      <c r="E72" s="17">
        <v>3</v>
      </c>
      <c r="F72" s="17">
        <v>9900</v>
      </c>
      <c r="G72" s="18" t="s">
        <v>256</v>
      </c>
    </row>
    <row r="73" spans="2:7" ht="15.6" x14ac:dyDescent="0.3">
      <c r="B73" s="15" t="str">
        <f ca="1">"07.04."&amp;YEAR(TODAY())</f>
        <v>07.04.2022</v>
      </c>
      <c r="C73" s="16" t="s">
        <v>152</v>
      </c>
      <c r="D73" s="17" t="s">
        <v>87</v>
      </c>
      <c r="E73" s="17">
        <v>3</v>
      </c>
      <c r="F73" s="17">
        <v>9900</v>
      </c>
      <c r="G73" s="18" t="s">
        <v>257</v>
      </c>
    </row>
    <row r="74" spans="2:7" ht="15.6" x14ac:dyDescent="0.3">
      <c r="B74" s="15" t="str">
        <f ca="1">"08.04."&amp;YEAR(TODAY())</f>
        <v>08.04.2022</v>
      </c>
      <c r="C74" s="16" t="s">
        <v>153</v>
      </c>
      <c r="D74" s="17" t="s">
        <v>662</v>
      </c>
      <c r="E74" s="17">
        <v>4</v>
      </c>
      <c r="F74" s="17">
        <v>1000</v>
      </c>
      <c r="G74" s="18" t="s">
        <v>247</v>
      </c>
    </row>
    <row r="75" spans="2:7" ht="15.6" x14ac:dyDescent="0.3">
      <c r="B75" s="15" t="str">
        <f ca="1">"09.04."&amp;YEAR(TODAY())</f>
        <v>09.04.2022</v>
      </c>
      <c r="C75" s="16" t="s">
        <v>154</v>
      </c>
      <c r="D75" s="17" t="s">
        <v>662</v>
      </c>
      <c r="E75" s="17">
        <v>4</v>
      </c>
      <c r="F75" s="17">
        <v>1000</v>
      </c>
      <c r="G75" s="18" t="s">
        <v>248</v>
      </c>
    </row>
    <row r="76" spans="2:7" ht="15.6" x14ac:dyDescent="0.3">
      <c r="B76" s="15" t="str">
        <f ca="1">"12.04."&amp;YEAR(TODAY())</f>
        <v>12.04.2022</v>
      </c>
      <c r="C76" s="16" t="s">
        <v>155</v>
      </c>
      <c r="D76" s="17" t="s">
        <v>663</v>
      </c>
      <c r="E76" s="17">
        <v>7</v>
      </c>
      <c r="F76" s="17">
        <v>1050</v>
      </c>
      <c r="G76" s="18" t="s">
        <v>247</v>
      </c>
    </row>
    <row r="77" spans="2:7" ht="15.6" x14ac:dyDescent="0.3">
      <c r="B77" s="15" t="str">
        <f ca="1">"13.04."&amp;YEAR(TODAY())</f>
        <v>13.04.2022</v>
      </c>
      <c r="C77" s="16" t="s">
        <v>156</v>
      </c>
      <c r="D77" s="17" t="s">
        <v>663</v>
      </c>
      <c r="E77" s="17">
        <v>7</v>
      </c>
      <c r="F77" s="17">
        <v>1050</v>
      </c>
      <c r="G77" s="18" t="s">
        <v>248</v>
      </c>
    </row>
    <row r="78" spans="2:7" ht="15.6" x14ac:dyDescent="0.3">
      <c r="B78" s="15" t="str">
        <f ca="1">"14.04."&amp;YEAR(TODAY())</f>
        <v>14.04.2022</v>
      </c>
      <c r="C78" s="16" t="s">
        <v>157</v>
      </c>
      <c r="D78" s="17" t="s">
        <v>661</v>
      </c>
      <c r="E78" s="17">
        <v>1</v>
      </c>
      <c r="F78" s="17">
        <v>9800</v>
      </c>
      <c r="G78" s="18" t="s">
        <v>256</v>
      </c>
    </row>
    <row r="79" spans="2:7" ht="15.6" x14ac:dyDescent="0.3">
      <c r="B79" s="15" t="str">
        <f ca="1">"15.04."&amp;YEAR(TODAY())</f>
        <v>15.04.2022</v>
      </c>
      <c r="C79" s="16" t="s">
        <v>158</v>
      </c>
      <c r="D79" s="17" t="s">
        <v>661</v>
      </c>
      <c r="E79" s="17">
        <v>1</v>
      </c>
      <c r="F79" s="17">
        <v>9800</v>
      </c>
      <c r="G79" s="18" t="s">
        <v>257</v>
      </c>
    </row>
    <row r="80" spans="2:7" ht="15.6" x14ac:dyDescent="0.3">
      <c r="B80" s="15" t="str">
        <f ca="1">"16.04."&amp;YEAR(TODAY())</f>
        <v>16.04.2022</v>
      </c>
      <c r="C80" s="16" t="s">
        <v>159</v>
      </c>
      <c r="D80" s="17" t="s">
        <v>661</v>
      </c>
      <c r="E80" s="17">
        <v>3</v>
      </c>
      <c r="F80" s="17">
        <v>29400</v>
      </c>
      <c r="G80" s="18" t="s">
        <v>249</v>
      </c>
    </row>
    <row r="81" spans="2:7" ht="15.6" x14ac:dyDescent="0.3">
      <c r="B81" s="15" t="str">
        <f ca="1">"19.04."&amp;YEAR(TODAY())</f>
        <v>19.04.2022</v>
      </c>
      <c r="C81" s="16" t="s">
        <v>160</v>
      </c>
      <c r="D81" s="17" t="s">
        <v>661</v>
      </c>
      <c r="E81" s="17">
        <v>3</v>
      </c>
      <c r="F81" s="17">
        <v>29400</v>
      </c>
      <c r="G81" s="18" t="s">
        <v>250</v>
      </c>
    </row>
    <row r="82" spans="2:7" ht="15.6" x14ac:dyDescent="0.3">
      <c r="B82" s="15" t="str">
        <f ca="1">"20.04."&amp;YEAR(TODAY())</f>
        <v>20.04.2022</v>
      </c>
      <c r="C82" s="16" t="s">
        <v>161</v>
      </c>
      <c r="D82" s="17" t="s">
        <v>100</v>
      </c>
      <c r="E82" s="17">
        <v>2</v>
      </c>
      <c r="F82" s="17">
        <v>13000</v>
      </c>
      <c r="G82" s="18" t="s">
        <v>254</v>
      </c>
    </row>
    <row r="83" spans="2:7" ht="15.6" x14ac:dyDescent="0.3">
      <c r="B83" s="15" t="str">
        <f ca="1">"20.04."&amp;YEAR(TODAY())</f>
        <v>20.04.2022</v>
      </c>
      <c r="C83" s="16" t="s">
        <v>161</v>
      </c>
      <c r="D83" s="17" t="s">
        <v>100</v>
      </c>
      <c r="E83" s="17">
        <v>2</v>
      </c>
      <c r="F83" s="17">
        <v>13000</v>
      </c>
      <c r="G83" s="18" t="s">
        <v>254</v>
      </c>
    </row>
    <row r="84" spans="2:7" ht="15.6" x14ac:dyDescent="0.3">
      <c r="B84" s="15" t="str">
        <f ca="1">"21.04."&amp;YEAR(TODAY())</f>
        <v>21.04.2022</v>
      </c>
      <c r="C84" s="16" t="s">
        <v>162</v>
      </c>
      <c r="D84" s="17" t="s">
        <v>100</v>
      </c>
      <c r="E84" s="17">
        <v>2</v>
      </c>
      <c r="F84" s="17">
        <v>13000</v>
      </c>
      <c r="G84" s="18" t="s">
        <v>255</v>
      </c>
    </row>
    <row r="85" spans="2:7" ht="15.6" x14ac:dyDescent="0.3">
      <c r="B85" s="15" t="str">
        <f ca="1">"22.04."&amp;YEAR(TODAY())</f>
        <v>22.04.2022</v>
      </c>
      <c r="C85" s="16" t="s">
        <v>163</v>
      </c>
      <c r="D85" s="17" t="s">
        <v>664</v>
      </c>
      <c r="E85" s="17">
        <v>1</v>
      </c>
      <c r="F85" s="17">
        <v>7250</v>
      </c>
      <c r="G85" s="18" t="s">
        <v>249</v>
      </c>
    </row>
    <row r="86" spans="2:7" ht="15.6" x14ac:dyDescent="0.3">
      <c r="B86" s="15" t="str">
        <f ca="1">"23.04."&amp;YEAR(TODAY())</f>
        <v>23.04.2022</v>
      </c>
      <c r="C86" s="16" t="s">
        <v>164</v>
      </c>
      <c r="D86" s="17" t="s">
        <v>664</v>
      </c>
      <c r="E86" s="17">
        <v>1</v>
      </c>
      <c r="F86" s="17">
        <v>7250</v>
      </c>
      <c r="G86" s="18" t="s">
        <v>250</v>
      </c>
    </row>
    <row r="87" spans="2:7" ht="15.6" x14ac:dyDescent="0.3">
      <c r="B87" s="15" t="str">
        <f ca="1">"26.04."&amp;YEAR(TODAY())</f>
        <v>26.04.2022</v>
      </c>
      <c r="C87" s="16" t="s">
        <v>165</v>
      </c>
      <c r="D87" s="17" t="s">
        <v>662</v>
      </c>
      <c r="E87" s="17">
        <v>1</v>
      </c>
      <c r="F87" s="17">
        <v>300</v>
      </c>
      <c r="G87" s="18" t="s">
        <v>252</v>
      </c>
    </row>
    <row r="88" spans="2:7" ht="15.6" x14ac:dyDescent="0.3">
      <c r="B88" s="15" t="str">
        <f ca="1">"27.04."&amp;YEAR(TODAY())</f>
        <v>27.04.2022</v>
      </c>
      <c r="C88" s="16" t="s">
        <v>166</v>
      </c>
      <c r="D88" s="17" t="s">
        <v>662</v>
      </c>
      <c r="E88" s="17">
        <v>1</v>
      </c>
      <c r="F88" s="17">
        <v>300</v>
      </c>
      <c r="G88" s="18" t="s">
        <v>253</v>
      </c>
    </row>
    <row r="89" spans="2:7" ht="15.6" x14ac:dyDescent="0.3">
      <c r="B89" s="15" t="str">
        <f ca="1">"28.04."&amp;YEAR(TODAY())</f>
        <v>28.04.2022</v>
      </c>
      <c r="C89" s="16" t="s">
        <v>167</v>
      </c>
      <c r="D89" s="17" t="s">
        <v>663</v>
      </c>
      <c r="E89" s="17">
        <v>2</v>
      </c>
      <c r="F89" s="17">
        <v>300</v>
      </c>
      <c r="G89" s="18" t="s">
        <v>252</v>
      </c>
    </row>
    <row r="90" spans="2:7" ht="15.6" x14ac:dyDescent="0.3">
      <c r="B90" s="15" t="str">
        <f ca="1">"29.04."&amp;YEAR(TODAY())</f>
        <v>29.04.2022</v>
      </c>
      <c r="C90" s="16" t="s">
        <v>168</v>
      </c>
      <c r="D90" s="17" t="s">
        <v>663</v>
      </c>
      <c r="E90" s="17">
        <v>2</v>
      </c>
      <c r="F90" s="17">
        <v>300</v>
      </c>
      <c r="G90" s="18" t="s">
        <v>253</v>
      </c>
    </row>
    <row r="91" spans="2:7" ht="15.6" x14ac:dyDescent="0.3">
      <c r="B91" s="15" t="str">
        <f ca="1">"30.04."&amp;YEAR(TODAY())</f>
        <v>30.04.2022</v>
      </c>
      <c r="C91" s="16" t="s">
        <v>169</v>
      </c>
      <c r="D91" s="17" t="s">
        <v>664</v>
      </c>
      <c r="E91" s="17">
        <v>3</v>
      </c>
      <c r="F91" s="17">
        <v>21750</v>
      </c>
      <c r="G91" s="18" t="s">
        <v>252</v>
      </c>
    </row>
    <row r="92" spans="2:7" ht="15.6" x14ac:dyDescent="0.3">
      <c r="B92" s="15" t="str">
        <f ca="1">"03.05."&amp;YEAR(TODAY())</f>
        <v>03.05.2022</v>
      </c>
      <c r="C92" s="16" t="s">
        <v>170</v>
      </c>
      <c r="D92" s="17" t="s">
        <v>664</v>
      </c>
      <c r="E92" s="17">
        <v>3</v>
      </c>
      <c r="F92" s="17">
        <v>21750</v>
      </c>
      <c r="G92" s="18" t="s">
        <v>253</v>
      </c>
    </row>
    <row r="93" spans="2:7" ht="15.6" x14ac:dyDescent="0.3">
      <c r="B93" s="15" t="str">
        <f ca="1">"04.05."&amp;YEAR(TODAY())</f>
        <v>04.05.2022</v>
      </c>
      <c r="C93" s="16" t="s">
        <v>171</v>
      </c>
      <c r="D93" s="17" t="s">
        <v>662</v>
      </c>
      <c r="E93" s="17">
        <v>5</v>
      </c>
      <c r="F93" s="17">
        <v>1250</v>
      </c>
      <c r="G93" s="18" t="s">
        <v>256</v>
      </c>
    </row>
    <row r="94" spans="2:7" ht="15.6" x14ac:dyDescent="0.3">
      <c r="B94" s="15" t="str">
        <f ca="1">"04.05."&amp;YEAR(TODAY())</f>
        <v>04.05.2022</v>
      </c>
      <c r="C94" s="16" t="s">
        <v>171</v>
      </c>
      <c r="D94" s="17" t="s">
        <v>662</v>
      </c>
      <c r="E94" s="17">
        <v>5</v>
      </c>
      <c r="F94" s="17">
        <v>1250</v>
      </c>
      <c r="G94" s="18" t="s">
        <v>256</v>
      </c>
    </row>
    <row r="95" spans="2:7" ht="15.6" x14ac:dyDescent="0.3">
      <c r="B95" s="15" t="str">
        <f ca="1">"05.05."&amp;YEAR(TODAY())</f>
        <v>05.05.2022</v>
      </c>
      <c r="C95" s="16" t="s">
        <v>172</v>
      </c>
      <c r="D95" s="17" t="s">
        <v>662</v>
      </c>
      <c r="E95" s="17">
        <v>5</v>
      </c>
      <c r="F95" s="17">
        <v>1250</v>
      </c>
      <c r="G95" s="18" t="s">
        <v>257</v>
      </c>
    </row>
    <row r="96" spans="2:7" ht="15.6" x14ac:dyDescent="0.3">
      <c r="B96" s="15" t="str">
        <f ca="1">"06.05."&amp;YEAR(TODAY())</f>
        <v>06.05.2022</v>
      </c>
      <c r="C96" s="16" t="s">
        <v>173</v>
      </c>
      <c r="D96" s="17" t="s">
        <v>661</v>
      </c>
      <c r="E96" s="17">
        <v>6</v>
      </c>
      <c r="F96" s="17">
        <v>58800</v>
      </c>
      <c r="G96" s="18" t="s">
        <v>247</v>
      </c>
    </row>
    <row r="97" spans="2:7" ht="15.6" x14ac:dyDescent="0.3">
      <c r="B97" s="15" t="str">
        <f ca="1">"07.05."&amp;YEAR(TODAY())</f>
        <v>07.05.2022</v>
      </c>
      <c r="C97" s="16" t="s">
        <v>174</v>
      </c>
      <c r="D97" s="17" t="s">
        <v>661</v>
      </c>
      <c r="E97" s="17">
        <v>6</v>
      </c>
      <c r="F97" s="17">
        <v>58800</v>
      </c>
      <c r="G97" s="18" t="s">
        <v>248</v>
      </c>
    </row>
    <row r="98" spans="2:7" ht="15.6" x14ac:dyDescent="0.3">
      <c r="B98" s="15" t="str">
        <f ca="1">"10.05."&amp;YEAR(TODAY())</f>
        <v>10.05.2022</v>
      </c>
      <c r="C98" s="16" t="s">
        <v>175</v>
      </c>
      <c r="D98" s="17" t="s">
        <v>661</v>
      </c>
      <c r="E98" s="17">
        <v>7</v>
      </c>
      <c r="F98" s="17">
        <v>68600</v>
      </c>
      <c r="G98" s="18" t="s">
        <v>245</v>
      </c>
    </row>
    <row r="99" spans="2:7" ht="15.6" x14ac:dyDescent="0.3">
      <c r="B99" s="15" t="str">
        <f ca="1">"11.05."&amp;YEAR(TODAY())</f>
        <v>11.05.2022</v>
      </c>
      <c r="C99" s="16" t="s">
        <v>176</v>
      </c>
      <c r="D99" s="17" t="s">
        <v>661</v>
      </c>
      <c r="E99" s="17">
        <v>7</v>
      </c>
      <c r="F99" s="17">
        <v>68600</v>
      </c>
      <c r="G99" s="18" t="s">
        <v>246</v>
      </c>
    </row>
    <row r="100" spans="2:7" ht="15.6" x14ac:dyDescent="0.3">
      <c r="B100" s="15" t="str">
        <f ca="1">"12.05."&amp;YEAR(TODAY())</f>
        <v>12.05.2022</v>
      </c>
      <c r="C100" s="16" t="s">
        <v>177</v>
      </c>
      <c r="D100" s="17" t="s">
        <v>662</v>
      </c>
      <c r="E100" s="17">
        <v>2</v>
      </c>
      <c r="F100" s="17">
        <v>600</v>
      </c>
      <c r="G100" s="18" t="s">
        <v>249</v>
      </c>
    </row>
    <row r="101" spans="2:7" ht="15.6" x14ac:dyDescent="0.3">
      <c r="B101" s="15" t="str">
        <f ca="1">"13.05."&amp;YEAR(TODAY())</f>
        <v>13.05.2022</v>
      </c>
      <c r="C101" s="16" t="s">
        <v>178</v>
      </c>
      <c r="D101" s="17" t="s">
        <v>662</v>
      </c>
      <c r="E101" s="17">
        <v>2</v>
      </c>
      <c r="F101" s="17">
        <v>600</v>
      </c>
      <c r="G101" s="18" t="s">
        <v>250</v>
      </c>
    </row>
    <row r="102" spans="2:7" ht="15.6" x14ac:dyDescent="0.3">
      <c r="B102" s="15" t="str">
        <f ca="1">"14.05."&amp;YEAR(TODAY())</f>
        <v>14.05.2022</v>
      </c>
      <c r="C102" s="16" t="s">
        <v>179</v>
      </c>
      <c r="D102" s="17" t="s">
        <v>662</v>
      </c>
      <c r="E102" s="17">
        <v>2</v>
      </c>
      <c r="F102" s="17">
        <v>600</v>
      </c>
      <c r="G102" s="18" t="s">
        <v>250</v>
      </c>
    </row>
    <row r="103" spans="2:7" ht="15.6" x14ac:dyDescent="0.3">
      <c r="B103" s="15" t="str">
        <f ca="1">"17.05."&amp;YEAR(TODAY())</f>
        <v>17.05.2022</v>
      </c>
      <c r="C103" s="16" t="s">
        <v>180</v>
      </c>
      <c r="D103" s="17" t="s">
        <v>87</v>
      </c>
      <c r="E103" s="17">
        <v>1</v>
      </c>
      <c r="F103" s="17">
        <v>7250</v>
      </c>
      <c r="G103" s="18" t="s">
        <v>254</v>
      </c>
    </row>
    <row r="104" spans="2:7" ht="15.6" x14ac:dyDescent="0.3">
      <c r="B104" s="15" t="str">
        <f ca="1">"18.05."&amp;YEAR(TODAY())</f>
        <v>18.05.2022</v>
      </c>
      <c r="C104" s="16" t="s">
        <v>181</v>
      </c>
      <c r="D104" s="17" t="s">
        <v>87</v>
      </c>
      <c r="E104" s="17">
        <v>1</v>
      </c>
      <c r="F104" s="17">
        <v>7250</v>
      </c>
      <c r="G104" s="18" t="s">
        <v>255</v>
      </c>
    </row>
    <row r="105" spans="2:7" ht="15.6" x14ac:dyDescent="0.3">
      <c r="B105" s="15" t="str">
        <f ca="1">"18.05."&amp;YEAR(TODAY())</f>
        <v>18.05.2022</v>
      </c>
      <c r="C105" s="16" t="s">
        <v>181</v>
      </c>
      <c r="D105" s="17" t="s">
        <v>87</v>
      </c>
      <c r="E105" s="17">
        <v>1</v>
      </c>
      <c r="F105" s="17">
        <v>7250</v>
      </c>
      <c r="G105" s="18" t="s">
        <v>255</v>
      </c>
    </row>
    <row r="106" spans="2:7" ht="15.6" x14ac:dyDescent="0.3">
      <c r="B106" s="15" t="str">
        <f ca="1">"19.05."&amp;YEAR(TODAY())</f>
        <v>19.05.2022</v>
      </c>
      <c r="C106" s="16" t="s">
        <v>182</v>
      </c>
      <c r="D106" s="17" t="s">
        <v>100</v>
      </c>
      <c r="E106" s="17">
        <v>5</v>
      </c>
      <c r="F106" s="17">
        <v>32500</v>
      </c>
      <c r="G106" s="18" t="s">
        <v>254</v>
      </c>
    </row>
    <row r="107" spans="2:7" ht="15.6" x14ac:dyDescent="0.3">
      <c r="B107" s="15" t="str">
        <f ca="1">"20.05."&amp;YEAR(TODAY())</f>
        <v>20.05.2022</v>
      </c>
      <c r="C107" s="16" t="s">
        <v>183</v>
      </c>
      <c r="D107" s="17" t="s">
        <v>100</v>
      </c>
      <c r="E107" s="17">
        <v>5</v>
      </c>
      <c r="F107" s="17">
        <v>32500</v>
      </c>
      <c r="G107" s="18" t="s">
        <v>255</v>
      </c>
    </row>
    <row r="108" spans="2:7" ht="15.6" x14ac:dyDescent="0.3">
      <c r="B108" s="15" t="str">
        <f ca="1">"21.05."&amp;YEAR(TODAY())</f>
        <v>21.05.2022</v>
      </c>
      <c r="C108" s="16" t="s">
        <v>184</v>
      </c>
      <c r="D108" s="17" t="s">
        <v>661</v>
      </c>
      <c r="E108" s="17">
        <v>9</v>
      </c>
      <c r="F108" s="17">
        <v>88200</v>
      </c>
      <c r="G108" s="18" t="s">
        <v>254</v>
      </c>
    </row>
    <row r="109" spans="2:7" ht="15.6" x14ac:dyDescent="0.3">
      <c r="B109" s="15" t="str">
        <f ca="1">"24.05."&amp;YEAR(TODAY())</f>
        <v>24.05.2022</v>
      </c>
      <c r="C109" s="16" t="s">
        <v>185</v>
      </c>
      <c r="D109" s="17" t="s">
        <v>661</v>
      </c>
      <c r="E109" s="17">
        <v>9</v>
      </c>
      <c r="F109" s="17">
        <v>88200</v>
      </c>
      <c r="G109" s="18" t="s">
        <v>255</v>
      </c>
    </row>
    <row r="110" spans="2:7" ht="15.6" x14ac:dyDescent="0.3">
      <c r="B110" s="15" t="str">
        <f ca="1">"25.05."&amp;YEAR(TODAY())</f>
        <v>25.05.2022</v>
      </c>
      <c r="C110" s="16" t="s">
        <v>186</v>
      </c>
      <c r="D110" s="17" t="s">
        <v>87</v>
      </c>
      <c r="E110" s="17">
        <v>3</v>
      </c>
      <c r="F110" s="17">
        <v>9900</v>
      </c>
      <c r="G110" s="18" t="s">
        <v>249</v>
      </c>
    </row>
    <row r="111" spans="2:7" ht="15.6" x14ac:dyDescent="0.3">
      <c r="B111" s="15" t="str">
        <f ca="1">"26.05."&amp;YEAR(TODAY())</f>
        <v>26.05.2022</v>
      </c>
      <c r="C111" s="16" t="s">
        <v>187</v>
      </c>
      <c r="D111" s="17" t="s">
        <v>87</v>
      </c>
      <c r="E111" s="17">
        <v>3</v>
      </c>
      <c r="F111" s="17">
        <v>9900</v>
      </c>
      <c r="G111" s="18" t="s">
        <v>250</v>
      </c>
    </row>
    <row r="112" spans="2:7" ht="15.6" x14ac:dyDescent="0.3">
      <c r="B112" s="15" t="str">
        <f ca="1">"27.05."&amp;YEAR(TODAY())</f>
        <v>27.05.2022</v>
      </c>
      <c r="C112" s="16" t="s">
        <v>188</v>
      </c>
      <c r="D112" s="17" t="s">
        <v>663</v>
      </c>
      <c r="E112" s="17">
        <v>4</v>
      </c>
      <c r="F112" s="17">
        <v>600</v>
      </c>
      <c r="G112" s="18" t="s">
        <v>249</v>
      </c>
    </row>
    <row r="113" spans="2:7" ht="15.6" x14ac:dyDescent="0.3">
      <c r="B113" s="15" t="str">
        <f ca="1">"28.05."&amp;YEAR(TODAY())</f>
        <v>28.05.2022</v>
      </c>
      <c r="C113" s="16" t="s">
        <v>189</v>
      </c>
      <c r="D113" s="17" t="s">
        <v>663</v>
      </c>
      <c r="E113" s="17">
        <v>4</v>
      </c>
      <c r="F113" s="17">
        <v>600</v>
      </c>
      <c r="G113" s="18" t="s">
        <v>250</v>
      </c>
    </row>
    <row r="114" spans="2:7" ht="15.6" x14ac:dyDescent="0.3">
      <c r="B114" s="15" t="str">
        <f ca="1">"31.05."&amp;YEAR(TODAY())</f>
        <v>31.05.2022</v>
      </c>
      <c r="C114" s="16" t="s">
        <v>190</v>
      </c>
      <c r="D114" s="17" t="s">
        <v>109</v>
      </c>
      <c r="E114" s="17">
        <v>5</v>
      </c>
      <c r="F114" s="17">
        <v>6250</v>
      </c>
      <c r="G114" s="18" t="s">
        <v>249</v>
      </c>
    </row>
    <row r="115" spans="2:7" ht="15.6" x14ac:dyDescent="0.3">
      <c r="B115" s="15" t="str">
        <f ca="1">"01.06."&amp;YEAR(TODAY())</f>
        <v>01.06.2022</v>
      </c>
      <c r="C115" s="16" t="s">
        <v>191</v>
      </c>
      <c r="D115" s="17" t="s">
        <v>109</v>
      </c>
      <c r="E115" s="17">
        <v>5</v>
      </c>
      <c r="F115" s="17">
        <v>6250</v>
      </c>
      <c r="G115" s="18" t="s">
        <v>250</v>
      </c>
    </row>
    <row r="116" spans="2:7" ht="15.6" x14ac:dyDescent="0.3">
      <c r="B116" s="15" t="str">
        <f ca="1">"01.06."&amp;YEAR(TODAY())</f>
        <v>01.06.2022</v>
      </c>
      <c r="C116" s="16" t="s">
        <v>191</v>
      </c>
      <c r="D116" s="17" t="s">
        <v>109</v>
      </c>
      <c r="E116" s="17">
        <v>5</v>
      </c>
      <c r="F116" s="17">
        <v>6250</v>
      </c>
      <c r="G116" s="18" t="s">
        <v>250</v>
      </c>
    </row>
    <row r="117" spans="2:7" ht="15.6" x14ac:dyDescent="0.3">
      <c r="B117" s="15" t="str">
        <f ca="1">"02.06."&amp;YEAR(TODAY())</f>
        <v>02.06.2022</v>
      </c>
      <c r="C117" s="16" t="s">
        <v>192</v>
      </c>
      <c r="D117" s="17" t="s">
        <v>87</v>
      </c>
      <c r="E117" s="17">
        <v>2</v>
      </c>
      <c r="F117" s="17">
        <v>6600</v>
      </c>
      <c r="G117" s="18" t="s">
        <v>247</v>
      </c>
    </row>
    <row r="118" spans="2:7" ht="15.6" x14ac:dyDescent="0.3">
      <c r="B118" s="15" t="str">
        <f ca="1">"03.06."&amp;YEAR(TODAY())</f>
        <v>03.06.2022</v>
      </c>
      <c r="C118" s="16" t="s">
        <v>193</v>
      </c>
      <c r="D118" s="17" t="s">
        <v>87</v>
      </c>
      <c r="E118" s="17">
        <v>2</v>
      </c>
      <c r="F118" s="17">
        <v>6600</v>
      </c>
      <c r="G118" s="18" t="s">
        <v>248</v>
      </c>
    </row>
    <row r="119" spans="2:7" ht="15.6" x14ac:dyDescent="0.3">
      <c r="B119" s="15" t="str">
        <f ca="1">"04.06."&amp;YEAR(TODAY())</f>
        <v>04.06.2022</v>
      </c>
      <c r="C119" s="16" t="s">
        <v>194</v>
      </c>
      <c r="D119" s="17" t="s">
        <v>87</v>
      </c>
      <c r="E119" s="17">
        <v>2</v>
      </c>
      <c r="F119" s="17">
        <v>6600</v>
      </c>
      <c r="G119" s="18" t="s">
        <v>247</v>
      </c>
    </row>
    <row r="120" spans="2:7" ht="15.6" x14ac:dyDescent="0.3">
      <c r="B120" s="15" t="str">
        <f ca="1">"07.06."&amp;YEAR(TODAY())</f>
        <v>07.06.2022</v>
      </c>
      <c r="C120" s="16" t="s">
        <v>195</v>
      </c>
      <c r="D120" s="17" t="s">
        <v>87</v>
      </c>
      <c r="E120" s="17">
        <v>2</v>
      </c>
      <c r="F120" s="17">
        <v>6600</v>
      </c>
      <c r="G120" s="18" t="s">
        <v>248</v>
      </c>
    </row>
    <row r="121" spans="2:7" ht="15.6" x14ac:dyDescent="0.3">
      <c r="B121" s="15" t="str">
        <f ca="1">"08.06."&amp;YEAR(TODAY())</f>
        <v>08.06.2022</v>
      </c>
      <c r="C121" s="16" t="s">
        <v>196</v>
      </c>
      <c r="D121" s="17" t="s">
        <v>663</v>
      </c>
      <c r="E121" s="17">
        <v>10</v>
      </c>
      <c r="F121" s="17">
        <v>1500</v>
      </c>
      <c r="G121" s="18" t="s">
        <v>254</v>
      </c>
    </row>
    <row r="122" spans="2:7" ht="15.6" x14ac:dyDescent="0.3">
      <c r="B122" s="15" t="str">
        <f ca="1">"09.06."&amp;YEAR(TODAY())</f>
        <v>09.06.2022</v>
      </c>
      <c r="C122" s="16" t="s">
        <v>197</v>
      </c>
      <c r="D122" s="17" t="s">
        <v>663</v>
      </c>
      <c r="E122" s="17">
        <v>10</v>
      </c>
      <c r="F122" s="17">
        <v>1500</v>
      </c>
      <c r="G122" s="18" t="s">
        <v>255</v>
      </c>
    </row>
    <row r="123" spans="2:7" ht="15.6" x14ac:dyDescent="0.3">
      <c r="B123" s="15" t="str">
        <f ca="1">"10.06."&amp;YEAR(TODAY())</f>
        <v>10.06.2022</v>
      </c>
      <c r="C123" s="16" t="s">
        <v>198</v>
      </c>
      <c r="D123" s="17" t="s">
        <v>664</v>
      </c>
      <c r="E123" s="17">
        <v>2</v>
      </c>
      <c r="F123" s="17">
        <v>14500</v>
      </c>
      <c r="G123" s="18" t="s">
        <v>254</v>
      </c>
    </row>
    <row r="124" spans="2:7" ht="15.6" x14ac:dyDescent="0.3">
      <c r="B124" s="15" t="str">
        <f ca="1">"11.06."&amp;YEAR(TODAY())</f>
        <v>11.06.2022</v>
      </c>
      <c r="C124" s="16" t="s">
        <v>199</v>
      </c>
      <c r="D124" s="17" t="s">
        <v>664</v>
      </c>
      <c r="E124" s="17">
        <v>2</v>
      </c>
      <c r="F124" s="17">
        <v>14500</v>
      </c>
      <c r="G124" s="18" t="s">
        <v>255</v>
      </c>
    </row>
    <row r="125" spans="2:7" ht="15.6" x14ac:dyDescent="0.3">
      <c r="B125" s="15" t="str">
        <f ca="1">"14.06."&amp;YEAR(TODAY())</f>
        <v>14.06.2022</v>
      </c>
      <c r="C125" s="16" t="s">
        <v>200</v>
      </c>
      <c r="D125" s="17" t="s">
        <v>664</v>
      </c>
      <c r="E125" s="17">
        <v>2</v>
      </c>
      <c r="F125" s="17">
        <v>14500</v>
      </c>
      <c r="G125" s="18" t="s">
        <v>254</v>
      </c>
    </row>
    <row r="126" spans="2:7" ht="15.6" x14ac:dyDescent="0.3">
      <c r="B126" s="15" t="str">
        <f ca="1">"15.06."&amp;YEAR(TODAY())</f>
        <v>15.06.2022</v>
      </c>
      <c r="C126" s="16" t="s">
        <v>201</v>
      </c>
      <c r="D126" s="17" t="s">
        <v>664</v>
      </c>
      <c r="E126" s="17">
        <v>2</v>
      </c>
      <c r="F126" s="17">
        <v>14500</v>
      </c>
      <c r="G126" s="18" t="s">
        <v>255</v>
      </c>
    </row>
    <row r="127" spans="2:7" ht="15.6" x14ac:dyDescent="0.3">
      <c r="B127" s="15" t="str">
        <f ca="1">"15.06."&amp;YEAR(TODAY())</f>
        <v>15.06.2022</v>
      </c>
      <c r="C127" s="16" t="s">
        <v>201</v>
      </c>
      <c r="D127" s="17" t="s">
        <v>664</v>
      </c>
      <c r="E127" s="17">
        <v>2</v>
      </c>
      <c r="F127" s="17">
        <v>14500</v>
      </c>
      <c r="G127" s="18" t="s">
        <v>255</v>
      </c>
    </row>
    <row r="128" spans="2:7" ht="15.6" x14ac:dyDescent="0.3">
      <c r="B128" s="15" t="str">
        <f ca="1">"16.06."&amp;YEAR(TODAY())</f>
        <v>16.06.2022</v>
      </c>
      <c r="C128" s="16" t="s">
        <v>202</v>
      </c>
      <c r="D128" s="17" t="s">
        <v>109</v>
      </c>
      <c r="E128" s="17">
        <v>10</v>
      </c>
      <c r="F128" s="17">
        <v>12500</v>
      </c>
      <c r="G128" s="18" t="s">
        <v>247</v>
      </c>
    </row>
    <row r="129" spans="2:7" ht="15.6" x14ac:dyDescent="0.3">
      <c r="B129" s="15" t="str">
        <f ca="1">"17.06."&amp;YEAR(TODAY())</f>
        <v>17.06.2022</v>
      </c>
      <c r="C129" s="16" t="s">
        <v>203</v>
      </c>
      <c r="D129" s="17" t="s">
        <v>109</v>
      </c>
      <c r="E129" s="17">
        <v>10</v>
      </c>
      <c r="F129" s="17">
        <v>12500</v>
      </c>
      <c r="G129" s="18" t="s">
        <v>248</v>
      </c>
    </row>
    <row r="130" spans="2:7" ht="15.6" x14ac:dyDescent="0.3">
      <c r="B130" s="15" t="str">
        <f ca="1">"18.06."&amp;YEAR(TODAY())</f>
        <v>18.06.2022</v>
      </c>
      <c r="C130" s="16" t="s">
        <v>204</v>
      </c>
      <c r="D130" s="17" t="s">
        <v>664</v>
      </c>
      <c r="E130" s="17">
        <v>1</v>
      </c>
      <c r="F130" s="17">
        <v>7250</v>
      </c>
      <c r="G130" s="18" t="s">
        <v>247</v>
      </c>
    </row>
    <row r="131" spans="2:7" ht="15.6" x14ac:dyDescent="0.3">
      <c r="B131" s="15" t="str">
        <f ca="1">"21.06."&amp;YEAR(TODAY())</f>
        <v>21.06.2022</v>
      </c>
      <c r="C131" s="16" t="s">
        <v>205</v>
      </c>
      <c r="D131" s="17" t="s">
        <v>664</v>
      </c>
      <c r="E131" s="17">
        <v>1</v>
      </c>
      <c r="F131" s="17">
        <v>7250</v>
      </c>
      <c r="G131" s="18" t="s">
        <v>248</v>
      </c>
    </row>
    <row r="132" spans="2:7" ht="15.6" x14ac:dyDescent="0.3">
      <c r="B132" s="15" t="str">
        <f ca="1">"22.06."&amp;YEAR(TODAY())</f>
        <v>22.06.2022</v>
      </c>
      <c r="C132" s="16" t="s">
        <v>206</v>
      </c>
      <c r="D132" s="17" t="s">
        <v>662</v>
      </c>
      <c r="E132" s="17">
        <v>2</v>
      </c>
      <c r="F132" s="17">
        <v>600</v>
      </c>
      <c r="G132" s="18" t="s">
        <v>254</v>
      </c>
    </row>
    <row r="133" spans="2:7" ht="15.6" x14ac:dyDescent="0.3">
      <c r="B133" s="15" t="str">
        <f ca="1">"23.06."&amp;YEAR(TODAY())</f>
        <v>23.06.2022</v>
      </c>
      <c r="C133" s="16" t="s">
        <v>207</v>
      </c>
      <c r="D133" s="17" t="s">
        <v>662</v>
      </c>
      <c r="E133" s="17">
        <v>2</v>
      </c>
      <c r="F133" s="17">
        <v>600</v>
      </c>
      <c r="G133" s="18" t="s">
        <v>255</v>
      </c>
    </row>
    <row r="134" spans="2:7" ht="15.6" x14ac:dyDescent="0.3">
      <c r="B134" s="15" t="str">
        <f ca="1">"24.06."&amp;YEAR(TODAY())</f>
        <v>24.06.2022</v>
      </c>
      <c r="C134" s="16" t="s">
        <v>208</v>
      </c>
      <c r="D134" s="17" t="s">
        <v>662</v>
      </c>
      <c r="E134" s="17">
        <v>2</v>
      </c>
      <c r="F134" s="17">
        <v>600</v>
      </c>
      <c r="G134" s="18" t="s">
        <v>254</v>
      </c>
    </row>
    <row r="135" spans="2:7" ht="15.6" x14ac:dyDescent="0.3">
      <c r="B135" s="15" t="str">
        <f ca="1">"25.06."&amp;YEAR(TODAY())</f>
        <v>25.06.2022</v>
      </c>
      <c r="C135" s="16" t="s">
        <v>209</v>
      </c>
      <c r="D135" s="17" t="s">
        <v>662</v>
      </c>
      <c r="E135" s="17">
        <v>2</v>
      </c>
      <c r="F135" s="17">
        <v>600</v>
      </c>
      <c r="G135" s="18" t="s">
        <v>255</v>
      </c>
    </row>
    <row r="136" spans="2:7" ht="15.6" x14ac:dyDescent="0.3">
      <c r="B136" s="15" t="str">
        <f ca="1">"28.06."&amp;YEAR(TODAY())</f>
        <v>28.06.2022</v>
      </c>
      <c r="C136" s="16" t="s">
        <v>210</v>
      </c>
      <c r="D136" s="17" t="s">
        <v>662</v>
      </c>
      <c r="E136" s="17">
        <v>3</v>
      </c>
      <c r="F136" s="17">
        <v>750</v>
      </c>
      <c r="G136" s="18" t="s">
        <v>256</v>
      </c>
    </row>
    <row r="137" spans="2:7" ht="15.6" x14ac:dyDescent="0.3">
      <c r="B137" s="15" t="str">
        <f ca="1">"29.06."&amp;YEAR(TODAY())</f>
        <v>29.06.2022</v>
      </c>
      <c r="C137" s="16" t="s">
        <v>211</v>
      </c>
      <c r="D137" s="17" t="s">
        <v>662</v>
      </c>
      <c r="E137" s="17">
        <v>3</v>
      </c>
      <c r="F137" s="17">
        <v>750</v>
      </c>
      <c r="G137" s="18" t="s">
        <v>257</v>
      </c>
    </row>
    <row r="138" spans="2:7" ht="15.6" x14ac:dyDescent="0.3">
      <c r="B138" s="15" t="str">
        <f ca="1">"29.06."&amp;YEAR(TODAY())</f>
        <v>29.06.2022</v>
      </c>
      <c r="C138" s="16" t="s">
        <v>211</v>
      </c>
      <c r="D138" s="17" t="s">
        <v>662</v>
      </c>
      <c r="E138" s="17">
        <v>3</v>
      </c>
      <c r="F138" s="17">
        <v>750</v>
      </c>
      <c r="G138" s="18" t="s">
        <v>257</v>
      </c>
    </row>
    <row r="139" spans="2:7" ht="15.6" x14ac:dyDescent="0.3">
      <c r="B139" s="15" t="str">
        <f ca="1">"30.06."&amp;YEAR(TODAY())</f>
        <v>30.06.2022</v>
      </c>
      <c r="C139" s="16" t="s">
        <v>212</v>
      </c>
      <c r="D139" s="17" t="s">
        <v>662</v>
      </c>
      <c r="E139" s="17">
        <v>2</v>
      </c>
      <c r="F139" s="17">
        <v>600</v>
      </c>
      <c r="G139" s="18" t="s">
        <v>247</v>
      </c>
    </row>
    <row r="140" spans="2:7" ht="15.6" x14ac:dyDescent="0.3">
      <c r="B140" s="15" t="str">
        <f ca="1">"01.07."&amp;YEAR(TODAY())</f>
        <v>01.07.2022</v>
      </c>
      <c r="C140" s="16" t="s">
        <v>213</v>
      </c>
      <c r="D140" s="17" t="s">
        <v>662</v>
      </c>
      <c r="E140" s="17">
        <v>2</v>
      </c>
      <c r="F140" s="17">
        <v>600</v>
      </c>
      <c r="G140" s="18" t="s">
        <v>248</v>
      </c>
    </row>
    <row r="141" spans="2:7" ht="15.6" x14ac:dyDescent="0.3">
      <c r="B141" s="15" t="str">
        <f ca="1">"02.07."&amp;YEAR(TODAY())</f>
        <v>02.07.2022</v>
      </c>
      <c r="C141" s="16" t="s">
        <v>214</v>
      </c>
      <c r="D141" s="17" t="s">
        <v>662</v>
      </c>
      <c r="E141" s="17">
        <v>2</v>
      </c>
      <c r="F141" s="17">
        <v>600</v>
      </c>
      <c r="G141" s="18" t="s">
        <v>247</v>
      </c>
    </row>
    <row r="142" spans="2:7" ht="15.6" x14ac:dyDescent="0.3">
      <c r="B142" s="15" t="str">
        <f ca="1">"05.07."&amp;YEAR(TODAY())</f>
        <v>05.07.2022</v>
      </c>
      <c r="C142" s="16" t="s">
        <v>215</v>
      </c>
      <c r="D142" s="17" t="s">
        <v>662</v>
      </c>
      <c r="E142" s="17">
        <v>2</v>
      </c>
      <c r="F142" s="17">
        <v>600</v>
      </c>
      <c r="G142" s="18" t="s">
        <v>248</v>
      </c>
    </row>
    <row r="143" spans="2:7" ht="15.6" x14ac:dyDescent="0.3">
      <c r="B143" s="15" t="str">
        <f ca="1">"06.07."&amp;YEAR(TODAY())</f>
        <v>06.07.2022</v>
      </c>
      <c r="C143" s="16" t="s">
        <v>216</v>
      </c>
      <c r="D143" s="17" t="s">
        <v>664</v>
      </c>
      <c r="E143" s="17">
        <v>3</v>
      </c>
      <c r="F143" s="17">
        <v>21750</v>
      </c>
      <c r="G143" s="18" t="s">
        <v>245</v>
      </c>
    </row>
    <row r="144" spans="2:7" ht="15.6" x14ac:dyDescent="0.3">
      <c r="B144" s="15" t="str">
        <f ca="1">"07.07."&amp;YEAR(TODAY())</f>
        <v>07.07.2022</v>
      </c>
      <c r="C144" s="16" t="s">
        <v>217</v>
      </c>
      <c r="D144" s="17" t="s">
        <v>664</v>
      </c>
      <c r="E144" s="17">
        <v>3</v>
      </c>
      <c r="F144" s="17">
        <v>21750</v>
      </c>
      <c r="G144" s="18" t="s">
        <v>246</v>
      </c>
    </row>
    <row r="145" spans="2:7" ht="15.6" x14ac:dyDescent="0.3">
      <c r="B145" s="15" t="str">
        <f ca="1">"08.07."&amp;YEAR(TODAY())</f>
        <v>08.07.2022</v>
      </c>
      <c r="C145" s="16" t="s">
        <v>218</v>
      </c>
      <c r="D145" s="17" t="s">
        <v>100</v>
      </c>
      <c r="E145" s="17">
        <v>8</v>
      </c>
      <c r="F145" s="17">
        <v>52000</v>
      </c>
      <c r="G145" s="18" t="s">
        <v>252</v>
      </c>
    </row>
    <row r="146" spans="2:7" ht="15.6" x14ac:dyDescent="0.3">
      <c r="B146" s="15" t="str">
        <f ca="1">"09.07."&amp;YEAR(TODAY())</f>
        <v>09.07.2022</v>
      </c>
      <c r="C146" s="16" t="s">
        <v>219</v>
      </c>
      <c r="D146" s="17" t="s">
        <v>100</v>
      </c>
      <c r="E146" s="17">
        <v>8</v>
      </c>
      <c r="F146" s="17">
        <v>52000</v>
      </c>
      <c r="G146" s="18" t="s">
        <v>253</v>
      </c>
    </row>
    <row r="147" spans="2:7" ht="15.6" x14ac:dyDescent="0.3">
      <c r="B147" s="15" t="str">
        <f ca="1">"12.07."&amp;YEAR(TODAY())</f>
        <v>12.07.2022</v>
      </c>
      <c r="C147" s="16" t="s">
        <v>220</v>
      </c>
      <c r="D147" s="17" t="s">
        <v>663</v>
      </c>
      <c r="E147" s="17">
        <v>5</v>
      </c>
      <c r="F147" s="17">
        <v>750</v>
      </c>
      <c r="G147" s="18" t="s">
        <v>245</v>
      </c>
    </row>
    <row r="148" spans="2:7" ht="15.6" x14ac:dyDescent="0.3">
      <c r="B148" s="15" t="str">
        <f ca="1">"13.07."&amp;YEAR(TODAY())</f>
        <v>13.07.2022</v>
      </c>
      <c r="C148" s="16" t="s">
        <v>221</v>
      </c>
      <c r="D148" s="17" t="s">
        <v>663</v>
      </c>
      <c r="E148" s="17">
        <v>5</v>
      </c>
      <c r="F148" s="17">
        <v>750</v>
      </c>
      <c r="G148" s="18" t="s">
        <v>246</v>
      </c>
    </row>
    <row r="149" spans="2:7" ht="15.6" x14ac:dyDescent="0.3">
      <c r="B149" s="15" t="str">
        <f ca="1">"13.07."&amp;YEAR(TODAY())</f>
        <v>13.07.2022</v>
      </c>
      <c r="C149" s="16" t="s">
        <v>221</v>
      </c>
      <c r="D149" s="17" t="s">
        <v>663</v>
      </c>
      <c r="E149" s="17">
        <v>5</v>
      </c>
      <c r="F149" s="17">
        <v>750</v>
      </c>
      <c r="G149" s="18" t="s">
        <v>246</v>
      </c>
    </row>
    <row r="150" spans="2:7" ht="15.6" x14ac:dyDescent="0.3">
      <c r="B150" s="15" t="str">
        <f ca="1">"14.07."&amp;YEAR(TODAY())</f>
        <v>14.07.2022</v>
      </c>
      <c r="C150" s="16" t="s">
        <v>222</v>
      </c>
      <c r="D150" s="17" t="s">
        <v>87</v>
      </c>
      <c r="E150" s="17">
        <v>2</v>
      </c>
      <c r="F150" s="17">
        <v>6600</v>
      </c>
      <c r="G150" s="18" t="s">
        <v>247</v>
      </c>
    </row>
    <row r="151" spans="2:7" ht="15.6" x14ac:dyDescent="0.3">
      <c r="B151" s="15" t="str">
        <f ca="1">"15.07."&amp;YEAR(TODAY())</f>
        <v>15.07.2022</v>
      </c>
      <c r="C151" s="16" t="s">
        <v>223</v>
      </c>
      <c r="D151" s="17" t="s">
        <v>87</v>
      </c>
      <c r="E151" s="17">
        <v>2</v>
      </c>
      <c r="F151" s="17">
        <v>6600</v>
      </c>
      <c r="G151" s="18" t="s">
        <v>248</v>
      </c>
    </row>
    <row r="152" spans="2:7" ht="15.6" x14ac:dyDescent="0.3">
      <c r="B152" s="15" t="str">
        <f ca="1">"16.07."&amp;YEAR(TODAY())</f>
        <v>16.07.2022</v>
      </c>
      <c r="C152" s="16" t="s">
        <v>224</v>
      </c>
      <c r="D152" s="17" t="s">
        <v>87</v>
      </c>
      <c r="E152" s="17">
        <v>2</v>
      </c>
      <c r="F152" s="17">
        <v>6600</v>
      </c>
      <c r="G152" s="18" t="s">
        <v>247</v>
      </c>
    </row>
    <row r="153" spans="2:7" ht="15.6" x14ac:dyDescent="0.3">
      <c r="B153" s="15" t="str">
        <f ca="1">"19.07."&amp;YEAR(TODAY())</f>
        <v>19.07.2022</v>
      </c>
      <c r="C153" s="16" t="s">
        <v>225</v>
      </c>
      <c r="D153" s="17" t="s">
        <v>87</v>
      </c>
      <c r="E153" s="17">
        <v>2</v>
      </c>
      <c r="F153" s="17">
        <v>6600</v>
      </c>
      <c r="G153" s="18" t="s">
        <v>248</v>
      </c>
    </row>
    <row r="154" spans="2:7" ht="15.6" x14ac:dyDescent="0.3">
      <c r="B154" s="15" t="str">
        <f ca="1">"20.07."&amp;YEAR(TODAY())</f>
        <v>20.07.2022</v>
      </c>
      <c r="C154" s="16" t="s">
        <v>226</v>
      </c>
      <c r="D154" s="17" t="s">
        <v>661</v>
      </c>
      <c r="E154" s="17">
        <v>10</v>
      </c>
      <c r="F154" s="17">
        <v>98000</v>
      </c>
      <c r="G154" s="18" t="s">
        <v>247</v>
      </c>
    </row>
    <row r="155" spans="2:7" ht="15.6" x14ac:dyDescent="0.3">
      <c r="B155" s="15" t="str">
        <f ca="1">"21.07."&amp;YEAR(TODAY())</f>
        <v>21.07.2022</v>
      </c>
      <c r="C155" s="16" t="s">
        <v>227</v>
      </c>
      <c r="D155" s="17" t="s">
        <v>661</v>
      </c>
      <c r="E155" s="17">
        <v>10</v>
      </c>
      <c r="F155" s="17">
        <v>98000</v>
      </c>
      <c r="G155" s="18" t="s">
        <v>248</v>
      </c>
    </row>
    <row r="156" spans="2:7" ht="15.6" x14ac:dyDescent="0.3">
      <c r="B156" s="15" t="str">
        <f ca="1">"22.07."&amp;YEAR(TODAY())</f>
        <v>22.07.2022</v>
      </c>
      <c r="C156" s="16" t="s">
        <v>228</v>
      </c>
      <c r="D156" s="17" t="s">
        <v>665</v>
      </c>
      <c r="E156" s="17">
        <v>20</v>
      </c>
      <c r="F156" s="17">
        <v>900000</v>
      </c>
      <c r="G156" s="18" t="s">
        <v>256</v>
      </c>
    </row>
    <row r="157" spans="2:7" ht="15.6" x14ac:dyDescent="0.3">
      <c r="B157" s="15" t="str">
        <f ca="1">"23.07."&amp;YEAR(TODAY())</f>
        <v>23.07.2022</v>
      </c>
      <c r="C157" s="16" t="s">
        <v>229</v>
      </c>
      <c r="D157" s="17" t="s">
        <v>665</v>
      </c>
      <c r="E157" s="17">
        <v>20</v>
      </c>
      <c r="F157" s="17">
        <v>900000</v>
      </c>
      <c r="G157" s="18" t="s">
        <v>257</v>
      </c>
    </row>
    <row r="158" spans="2:7" ht="15.6" x14ac:dyDescent="0.3">
      <c r="B158" s="15" t="str">
        <f ca="1">"26.07."&amp;YEAR(TODAY())</f>
        <v>26.07.2022</v>
      </c>
      <c r="C158" s="16" t="s">
        <v>230</v>
      </c>
      <c r="D158" s="17" t="s">
        <v>665</v>
      </c>
      <c r="E158" s="17">
        <v>7</v>
      </c>
      <c r="F158" s="17">
        <v>31500</v>
      </c>
      <c r="G158" s="18" t="s">
        <v>252</v>
      </c>
    </row>
    <row r="159" spans="2:7" ht="15.6" x14ac:dyDescent="0.3">
      <c r="B159" s="15" t="str">
        <f ca="1">"27.07."&amp;YEAR(TODAY())</f>
        <v>27.07.2022</v>
      </c>
      <c r="C159" s="16" t="s">
        <v>231</v>
      </c>
      <c r="D159" s="17" t="s">
        <v>665</v>
      </c>
      <c r="E159" s="17">
        <v>7</v>
      </c>
      <c r="F159" s="17">
        <v>31500</v>
      </c>
      <c r="G159" s="18" t="s">
        <v>253</v>
      </c>
    </row>
    <row r="160" spans="2:7" ht="15.6" x14ac:dyDescent="0.3">
      <c r="B160" s="15" t="str">
        <f ca="1">"27.07."&amp;YEAR(TODAY())</f>
        <v>27.07.2022</v>
      </c>
      <c r="C160" s="16" t="s">
        <v>231</v>
      </c>
      <c r="D160" s="17" t="s">
        <v>665</v>
      </c>
      <c r="E160" s="17">
        <v>7</v>
      </c>
      <c r="F160" s="17">
        <v>31500</v>
      </c>
      <c r="G160" s="18" t="s">
        <v>253</v>
      </c>
    </row>
    <row r="161" spans="2:7" ht="15.6" x14ac:dyDescent="0.3">
      <c r="B161" s="15" t="str">
        <f ca="1">"28.07."&amp;YEAR(TODAY())</f>
        <v>28.07.2022</v>
      </c>
      <c r="C161" s="16" t="s">
        <v>232</v>
      </c>
      <c r="D161" s="17" t="s">
        <v>662</v>
      </c>
      <c r="E161" s="17">
        <v>4</v>
      </c>
      <c r="F161" s="17">
        <v>1000</v>
      </c>
      <c r="G161" s="18" t="s">
        <v>254</v>
      </c>
    </row>
    <row r="162" spans="2:7" ht="15.6" x14ac:dyDescent="0.3">
      <c r="B162" s="15" t="str">
        <f ca="1">"29.07."&amp;YEAR(TODAY())</f>
        <v>29.07.2022</v>
      </c>
      <c r="C162" s="16" t="s">
        <v>233</v>
      </c>
      <c r="D162" s="17" t="s">
        <v>662</v>
      </c>
      <c r="E162" s="17">
        <v>4</v>
      </c>
      <c r="F162" s="17">
        <v>1000</v>
      </c>
      <c r="G162" s="18" t="s">
        <v>255</v>
      </c>
    </row>
    <row r="163" spans="2:7" ht="15.6" x14ac:dyDescent="0.3">
      <c r="B163" s="15" t="str">
        <f ca="1">"30.07."&amp;YEAR(TODAY())</f>
        <v>30.07.2022</v>
      </c>
      <c r="C163" s="16" t="s">
        <v>234</v>
      </c>
      <c r="D163" s="17" t="s">
        <v>665</v>
      </c>
      <c r="E163" s="17">
        <v>15</v>
      </c>
      <c r="F163" s="17">
        <v>675000</v>
      </c>
      <c r="G163" s="18" t="s">
        <v>254</v>
      </c>
    </row>
    <row r="164" spans="2:7" ht="15.6" x14ac:dyDescent="0.3">
      <c r="B164" s="15" t="str">
        <f ca="1">"02.08."&amp;YEAR(TODAY())</f>
        <v>02.08.2022</v>
      </c>
      <c r="C164" s="16" t="s">
        <v>235</v>
      </c>
      <c r="D164" s="17" t="s">
        <v>665</v>
      </c>
      <c r="E164" s="17">
        <v>15</v>
      </c>
      <c r="F164" s="17">
        <v>675000</v>
      </c>
      <c r="G164" s="18" t="s">
        <v>255</v>
      </c>
    </row>
    <row r="165" spans="2:7" ht="15.6" x14ac:dyDescent="0.3">
      <c r="B165" s="15" t="str">
        <f ca="1">"03.08."&amp;YEAR(TODAY())</f>
        <v>03.08.2022</v>
      </c>
      <c r="C165" s="16" t="s">
        <v>236</v>
      </c>
      <c r="D165" s="17" t="s">
        <v>665</v>
      </c>
      <c r="E165" s="17">
        <v>1</v>
      </c>
      <c r="F165" s="17">
        <v>45000</v>
      </c>
      <c r="G165" s="18" t="s">
        <v>249</v>
      </c>
    </row>
    <row r="166" spans="2:7" ht="15.6" x14ac:dyDescent="0.3">
      <c r="B166" s="15" t="str">
        <f ca="1">"04.08."&amp;YEAR(TODAY())</f>
        <v>04.08.2022</v>
      </c>
      <c r="C166" s="16" t="s">
        <v>237</v>
      </c>
      <c r="D166" s="17" t="s">
        <v>665</v>
      </c>
      <c r="E166" s="17">
        <v>1</v>
      </c>
      <c r="F166" s="17">
        <v>45000</v>
      </c>
      <c r="G166" s="18" t="s">
        <v>250</v>
      </c>
    </row>
    <row r="167" spans="2:7" ht="15.6" x14ac:dyDescent="0.3">
      <c r="B167" s="15" t="str">
        <f ca="1">"05.08."&amp;YEAR(TODAY())</f>
        <v>05.08.2022</v>
      </c>
      <c r="C167" s="16" t="s">
        <v>238</v>
      </c>
      <c r="D167" s="17" t="s">
        <v>665</v>
      </c>
      <c r="E167" s="17">
        <v>5</v>
      </c>
      <c r="F167" s="17">
        <v>225000</v>
      </c>
      <c r="G167" s="18" t="s">
        <v>245</v>
      </c>
    </row>
    <row r="168" spans="2:7" ht="16.2" thickBot="1" x14ac:dyDescent="0.35">
      <c r="B168" s="19" t="str">
        <f ca="1">"06.08."&amp;YEAR(TODAY())</f>
        <v>06.08.2022</v>
      </c>
      <c r="C168" s="20" t="s">
        <v>239</v>
      </c>
      <c r="D168" s="21" t="s">
        <v>665</v>
      </c>
      <c r="E168" s="21">
        <v>5</v>
      </c>
      <c r="F168" s="21">
        <v>225000</v>
      </c>
      <c r="G168" s="22" t="s">
        <v>246</v>
      </c>
    </row>
  </sheetData>
  <conditionalFormatting sqref="C3">
    <cfRule type="duplicateValues" dxfId="1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A4F4-C25D-415F-867B-A78E0E762604}">
  <dimension ref="B2:K60"/>
  <sheetViews>
    <sheetView workbookViewId="0"/>
  </sheetViews>
  <sheetFormatPr defaultColWidth="9.109375" defaultRowHeight="13.8" x14ac:dyDescent="0.25"/>
  <cols>
    <col min="1" max="1" width="3.6640625" style="11" customWidth="1"/>
    <col min="2" max="2" width="4.44140625" style="11" customWidth="1"/>
    <col min="3" max="3" width="18.33203125" style="11" customWidth="1"/>
    <col min="4" max="4" width="15.109375" style="11" customWidth="1"/>
    <col min="5" max="5" width="18" style="11" bestFit="1" customWidth="1"/>
    <col min="6" max="6" width="12.109375" style="11" bestFit="1" customWidth="1"/>
    <col min="7" max="7" width="19.5546875" style="11" bestFit="1" customWidth="1"/>
    <col min="8" max="8" width="22" style="11" bestFit="1" customWidth="1"/>
    <col min="9" max="9" width="13" style="11" bestFit="1" customWidth="1"/>
    <col min="10" max="10" width="15.6640625" style="11" bestFit="1" customWidth="1"/>
    <col min="11" max="11" width="15.33203125" style="11" bestFit="1" customWidth="1"/>
    <col min="12" max="12" width="4.5546875" style="11" customWidth="1"/>
    <col min="13" max="16384" width="9.109375" style="11"/>
  </cols>
  <sheetData>
    <row r="2" spans="2:11" ht="18" x14ac:dyDescent="0.35">
      <c r="C2" s="2" t="s">
        <v>9</v>
      </c>
    </row>
    <row r="3" spans="2:11" ht="18" x14ac:dyDescent="0.35">
      <c r="C3" s="3" t="s">
        <v>301</v>
      </c>
    </row>
    <row r="4" spans="2:11" ht="14.4" thickBot="1" x14ac:dyDescent="0.3"/>
    <row r="5" spans="2:11" ht="32.4" x14ac:dyDescent="0.25">
      <c r="B5" s="41" t="s">
        <v>65</v>
      </c>
      <c r="C5" s="42" t="s">
        <v>81</v>
      </c>
      <c r="D5" s="42" t="s">
        <v>82</v>
      </c>
      <c r="E5" s="42" t="s">
        <v>83</v>
      </c>
      <c r="F5" s="42" t="s">
        <v>80</v>
      </c>
      <c r="G5" s="42" t="s">
        <v>77</v>
      </c>
      <c r="H5" s="42" t="s">
        <v>79</v>
      </c>
      <c r="I5" s="42" t="s">
        <v>1</v>
      </c>
      <c r="J5" s="42" t="s">
        <v>78</v>
      </c>
      <c r="K5" s="43" t="s">
        <v>66</v>
      </c>
    </row>
    <row r="6" spans="2:11" ht="15" x14ac:dyDescent="0.25">
      <c r="B6" s="44">
        <v>1</v>
      </c>
      <c r="C6" s="37" t="s">
        <v>508</v>
      </c>
      <c r="D6" s="37" t="s">
        <v>509</v>
      </c>
      <c r="E6" s="37" t="s">
        <v>617</v>
      </c>
      <c r="F6" s="38" t="s">
        <v>67</v>
      </c>
      <c r="G6" s="37">
        <v>29951</v>
      </c>
      <c r="H6" s="37" t="s">
        <v>312</v>
      </c>
      <c r="I6" s="37" t="s">
        <v>68</v>
      </c>
      <c r="J6" s="37">
        <v>10240</v>
      </c>
      <c r="K6" s="45" t="s">
        <v>644</v>
      </c>
    </row>
    <row r="7" spans="2:11" ht="15" x14ac:dyDescent="0.25">
      <c r="B7" s="46">
        <v>2</v>
      </c>
      <c r="C7" s="39" t="s">
        <v>579</v>
      </c>
      <c r="D7" s="39" t="s">
        <v>596</v>
      </c>
      <c r="E7" s="39" t="s">
        <v>626</v>
      </c>
      <c r="F7" s="40" t="s">
        <v>69</v>
      </c>
      <c r="G7" s="39">
        <v>35994</v>
      </c>
      <c r="H7" s="39" t="s">
        <v>484</v>
      </c>
      <c r="I7" s="39" t="s">
        <v>68</v>
      </c>
      <c r="J7" s="39">
        <v>10880</v>
      </c>
      <c r="K7" s="47" t="s">
        <v>645</v>
      </c>
    </row>
    <row r="8" spans="2:11" ht="15" x14ac:dyDescent="0.25">
      <c r="B8" s="44">
        <v>3</v>
      </c>
      <c r="C8" s="37" t="s">
        <v>544</v>
      </c>
      <c r="D8" s="37" t="s">
        <v>545</v>
      </c>
      <c r="E8" s="37" t="s">
        <v>546</v>
      </c>
      <c r="F8" s="38" t="s">
        <v>69</v>
      </c>
      <c r="G8" s="37">
        <v>35994</v>
      </c>
      <c r="H8" s="37" t="s">
        <v>484</v>
      </c>
      <c r="I8" s="37" t="s">
        <v>68</v>
      </c>
      <c r="J8" s="37">
        <v>10880</v>
      </c>
      <c r="K8" s="45" t="s">
        <v>646</v>
      </c>
    </row>
    <row r="9" spans="2:11" ht="15" x14ac:dyDescent="0.25">
      <c r="B9" s="46">
        <v>4</v>
      </c>
      <c r="C9" s="39" t="s">
        <v>538</v>
      </c>
      <c r="D9" s="39" t="s">
        <v>604</v>
      </c>
      <c r="E9" s="39" t="s">
        <v>631</v>
      </c>
      <c r="F9" s="40" t="s">
        <v>67</v>
      </c>
      <c r="G9" s="39">
        <v>34463</v>
      </c>
      <c r="H9" s="39" t="s">
        <v>643</v>
      </c>
      <c r="I9" s="39" t="s">
        <v>68</v>
      </c>
      <c r="J9" s="39">
        <v>12800</v>
      </c>
      <c r="K9" s="47" t="s">
        <v>647</v>
      </c>
    </row>
    <row r="10" spans="2:11" ht="15" x14ac:dyDescent="0.25">
      <c r="B10" s="44">
        <v>5</v>
      </c>
      <c r="C10" s="37" t="s">
        <v>573</v>
      </c>
      <c r="D10" s="37" t="s">
        <v>593</v>
      </c>
      <c r="E10" s="37" t="s">
        <v>619</v>
      </c>
      <c r="F10" s="38" t="s">
        <v>67</v>
      </c>
      <c r="G10" s="37">
        <v>34714</v>
      </c>
      <c r="H10" s="37" t="s">
        <v>643</v>
      </c>
      <c r="I10" s="37" t="s">
        <v>68</v>
      </c>
      <c r="J10" s="37">
        <v>14720</v>
      </c>
      <c r="K10" s="45" t="s">
        <v>648</v>
      </c>
    </row>
    <row r="11" spans="2:11" ht="15" x14ac:dyDescent="0.25">
      <c r="B11" s="46">
        <v>6</v>
      </c>
      <c r="C11" s="39" t="s">
        <v>581</v>
      </c>
      <c r="D11" s="39" t="s">
        <v>534</v>
      </c>
      <c r="E11" s="39" t="s">
        <v>628</v>
      </c>
      <c r="F11" s="40" t="s">
        <v>67</v>
      </c>
      <c r="G11" s="39">
        <v>34714</v>
      </c>
      <c r="H11" s="39" t="s">
        <v>643</v>
      </c>
      <c r="I11" s="39" t="s">
        <v>68</v>
      </c>
      <c r="J11" s="39">
        <v>14720</v>
      </c>
      <c r="K11" s="47"/>
    </row>
    <row r="12" spans="2:11" ht="15" x14ac:dyDescent="0.25">
      <c r="B12" s="44">
        <v>7</v>
      </c>
      <c r="C12" s="37" t="s">
        <v>521</v>
      </c>
      <c r="D12" s="37" t="s">
        <v>522</v>
      </c>
      <c r="E12" s="37" t="s">
        <v>523</v>
      </c>
      <c r="F12" s="38" t="s">
        <v>67</v>
      </c>
      <c r="G12" s="37">
        <v>30156</v>
      </c>
      <c r="H12" s="37" t="s">
        <v>482</v>
      </c>
      <c r="I12" s="37" t="s">
        <v>68</v>
      </c>
      <c r="J12" s="37">
        <v>14720</v>
      </c>
      <c r="K12" s="45"/>
    </row>
    <row r="13" spans="2:11" ht="15" x14ac:dyDescent="0.25">
      <c r="B13" s="46">
        <v>8</v>
      </c>
      <c r="C13" s="39" t="s">
        <v>548</v>
      </c>
      <c r="D13" s="39" t="s">
        <v>609</v>
      </c>
      <c r="E13" s="39" t="s">
        <v>549</v>
      </c>
      <c r="F13" s="40" t="s">
        <v>67</v>
      </c>
      <c r="G13" s="39">
        <v>32696</v>
      </c>
      <c r="H13" s="39" t="s">
        <v>484</v>
      </c>
      <c r="I13" s="39" t="s">
        <v>68</v>
      </c>
      <c r="J13" s="39">
        <v>14720</v>
      </c>
      <c r="K13" s="47"/>
    </row>
    <row r="14" spans="2:11" ht="15" x14ac:dyDescent="0.25">
      <c r="B14" s="44">
        <v>9</v>
      </c>
      <c r="C14" s="37" t="s">
        <v>535</v>
      </c>
      <c r="D14" s="37" t="s">
        <v>602</v>
      </c>
      <c r="E14" s="37" t="s">
        <v>630</v>
      </c>
      <c r="F14" s="38" t="s">
        <v>69</v>
      </c>
      <c r="G14" s="37">
        <v>29778</v>
      </c>
      <c r="H14" s="37" t="s">
        <v>312</v>
      </c>
      <c r="I14" s="37" t="s">
        <v>68</v>
      </c>
      <c r="J14" s="37">
        <v>15360</v>
      </c>
      <c r="K14" s="45" t="s">
        <v>649</v>
      </c>
    </row>
    <row r="15" spans="2:11" ht="15" x14ac:dyDescent="0.25">
      <c r="B15" s="46">
        <v>10</v>
      </c>
      <c r="C15" s="39" t="s">
        <v>589</v>
      </c>
      <c r="D15" s="39" t="s">
        <v>616</v>
      </c>
      <c r="E15" s="39" t="s">
        <v>641</v>
      </c>
      <c r="F15" s="40" t="s">
        <v>67</v>
      </c>
      <c r="G15" s="39">
        <v>29843</v>
      </c>
      <c r="H15" s="39" t="s">
        <v>310</v>
      </c>
      <c r="I15" s="39" t="s">
        <v>68</v>
      </c>
      <c r="J15" s="39">
        <v>21760</v>
      </c>
      <c r="K15" s="47" t="s">
        <v>650</v>
      </c>
    </row>
    <row r="16" spans="2:11" ht="15" x14ac:dyDescent="0.25">
      <c r="B16" s="44">
        <v>11</v>
      </c>
      <c r="C16" s="37" t="s">
        <v>570</v>
      </c>
      <c r="D16" s="37" t="s">
        <v>510</v>
      </c>
      <c r="E16" s="37" t="s">
        <v>618</v>
      </c>
      <c r="F16" s="38" t="s">
        <v>69</v>
      </c>
      <c r="G16" s="37">
        <v>29488</v>
      </c>
      <c r="H16" s="37" t="s">
        <v>310</v>
      </c>
      <c r="I16" s="37" t="s">
        <v>68</v>
      </c>
      <c r="J16" s="37">
        <v>21760</v>
      </c>
      <c r="K16" s="45" t="s">
        <v>651</v>
      </c>
    </row>
    <row r="17" spans="2:11" ht="15" x14ac:dyDescent="0.25">
      <c r="B17" s="46">
        <v>12</v>
      </c>
      <c r="C17" s="39" t="s">
        <v>580</v>
      </c>
      <c r="D17" s="39" t="s">
        <v>532</v>
      </c>
      <c r="E17" s="39" t="s">
        <v>533</v>
      </c>
      <c r="F17" s="40" t="s">
        <v>67</v>
      </c>
      <c r="G17" s="39">
        <v>32127</v>
      </c>
      <c r="H17" s="39" t="s">
        <v>311</v>
      </c>
      <c r="I17" s="39" t="s">
        <v>72</v>
      </c>
      <c r="J17" s="39">
        <v>5030</v>
      </c>
      <c r="K17" s="47"/>
    </row>
    <row r="18" spans="2:11" ht="15" x14ac:dyDescent="0.25">
      <c r="B18" s="44">
        <v>13</v>
      </c>
      <c r="C18" s="37" t="s">
        <v>561</v>
      </c>
      <c r="D18" s="37" t="s">
        <v>562</v>
      </c>
      <c r="E18" s="37" t="s">
        <v>563</v>
      </c>
      <c r="F18" s="38" t="s">
        <v>67</v>
      </c>
      <c r="G18" s="37">
        <v>36065</v>
      </c>
      <c r="H18" s="37" t="s">
        <v>643</v>
      </c>
      <c r="I18" s="37" t="s">
        <v>72</v>
      </c>
      <c r="J18" s="37">
        <v>8000</v>
      </c>
      <c r="K18" s="45"/>
    </row>
    <row r="19" spans="2:11" ht="15" x14ac:dyDescent="0.25">
      <c r="B19" s="46">
        <v>14</v>
      </c>
      <c r="C19" s="39" t="s">
        <v>558</v>
      </c>
      <c r="D19" s="39" t="s">
        <v>607</v>
      </c>
      <c r="E19" s="39" t="s">
        <v>638</v>
      </c>
      <c r="F19" s="40" t="s">
        <v>69</v>
      </c>
      <c r="G19" s="39">
        <v>31745</v>
      </c>
      <c r="H19" s="39" t="s">
        <v>482</v>
      </c>
      <c r="I19" s="39" t="s">
        <v>72</v>
      </c>
      <c r="J19" s="39">
        <v>9500</v>
      </c>
      <c r="K19" s="47"/>
    </row>
    <row r="20" spans="2:11" ht="15" x14ac:dyDescent="0.25">
      <c r="B20" s="44">
        <v>15</v>
      </c>
      <c r="C20" s="37" t="s">
        <v>528</v>
      </c>
      <c r="D20" s="37" t="s">
        <v>430</v>
      </c>
      <c r="E20" s="37" t="s">
        <v>625</v>
      </c>
      <c r="F20" s="38" t="s">
        <v>69</v>
      </c>
      <c r="G20" s="37">
        <v>31929</v>
      </c>
      <c r="H20" s="37" t="s">
        <v>312</v>
      </c>
      <c r="I20" s="37" t="s">
        <v>72</v>
      </c>
      <c r="J20" s="37">
        <v>10000</v>
      </c>
      <c r="K20" s="45" t="s">
        <v>652</v>
      </c>
    </row>
    <row r="21" spans="2:11" ht="15" x14ac:dyDescent="0.25">
      <c r="B21" s="46">
        <v>16</v>
      </c>
      <c r="C21" s="39" t="s">
        <v>571</v>
      </c>
      <c r="D21" s="39" t="s">
        <v>511</v>
      </c>
      <c r="E21" s="39" t="s">
        <v>512</v>
      </c>
      <c r="F21" s="40" t="s">
        <v>69</v>
      </c>
      <c r="G21" s="39">
        <v>30613</v>
      </c>
      <c r="H21" s="39" t="s">
        <v>484</v>
      </c>
      <c r="I21" s="39" t="s">
        <v>72</v>
      </c>
      <c r="J21" s="39">
        <v>10000</v>
      </c>
      <c r="K21" s="47" t="s">
        <v>653</v>
      </c>
    </row>
    <row r="22" spans="2:11" ht="15" x14ac:dyDescent="0.25">
      <c r="B22" s="44">
        <v>17</v>
      </c>
      <c r="C22" s="37" t="s">
        <v>568</v>
      </c>
      <c r="D22" s="37" t="s">
        <v>332</v>
      </c>
      <c r="E22" s="37" t="s">
        <v>327</v>
      </c>
      <c r="F22" s="38" t="s">
        <v>69</v>
      </c>
      <c r="G22" s="37">
        <v>35936</v>
      </c>
      <c r="H22" s="37" t="s">
        <v>311</v>
      </c>
      <c r="I22" s="37" t="s">
        <v>72</v>
      </c>
      <c r="J22" s="37">
        <v>11500</v>
      </c>
      <c r="K22" s="45" t="s">
        <v>660</v>
      </c>
    </row>
    <row r="23" spans="2:11" ht="15" x14ac:dyDescent="0.25">
      <c r="B23" s="46">
        <v>18</v>
      </c>
      <c r="C23" s="39" t="s">
        <v>551</v>
      </c>
      <c r="D23" s="39" t="s">
        <v>611</v>
      </c>
      <c r="E23" s="39" t="s">
        <v>637</v>
      </c>
      <c r="F23" s="40" t="s">
        <v>67</v>
      </c>
      <c r="G23" s="39">
        <v>33091</v>
      </c>
      <c r="H23" s="39" t="s">
        <v>310</v>
      </c>
      <c r="I23" s="39" t="s">
        <v>72</v>
      </c>
      <c r="J23" s="39">
        <v>11500</v>
      </c>
      <c r="K23" s="47" t="s">
        <v>654</v>
      </c>
    </row>
    <row r="24" spans="2:11" ht="15" x14ac:dyDescent="0.25">
      <c r="B24" s="44">
        <v>19</v>
      </c>
      <c r="C24" s="37" t="s">
        <v>529</v>
      </c>
      <c r="D24" s="37" t="s">
        <v>597</v>
      </c>
      <c r="E24" s="37" t="s">
        <v>530</v>
      </c>
      <c r="F24" s="38" t="s">
        <v>67</v>
      </c>
      <c r="G24" s="37">
        <v>33091</v>
      </c>
      <c r="H24" s="37" t="s">
        <v>310</v>
      </c>
      <c r="I24" s="37" t="s">
        <v>72</v>
      </c>
      <c r="J24" s="37">
        <v>11500</v>
      </c>
      <c r="K24" s="45" t="s">
        <v>655</v>
      </c>
    </row>
    <row r="25" spans="2:11" ht="15" x14ac:dyDescent="0.25">
      <c r="B25" s="46">
        <v>20</v>
      </c>
      <c r="C25" s="39" t="s">
        <v>584</v>
      </c>
      <c r="D25" s="39" t="s">
        <v>606</v>
      </c>
      <c r="E25" s="39" t="s">
        <v>540</v>
      </c>
      <c r="F25" s="40" t="s">
        <v>69</v>
      </c>
      <c r="G25" s="39">
        <v>35538</v>
      </c>
      <c r="H25" s="39" t="s">
        <v>483</v>
      </c>
      <c r="I25" s="39" t="s">
        <v>72</v>
      </c>
      <c r="J25" s="39">
        <v>17000</v>
      </c>
      <c r="K25" s="47"/>
    </row>
    <row r="26" spans="2:11" ht="15" x14ac:dyDescent="0.25">
      <c r="B26" s="44">
        <v>21</v>
      </c>
      <c r="C26" s="37" t="s">
        <v>586</v>
      </c>
      <c r="D26" s="37" t="s">
        <v>612</v>
      </c>
      <c r="E26" s="37" t="s">
        <v>552</v>
      </c>
      <c r="F26" s="38" t="s">
        <v>69</v>
      </c>
      <c r="G26" s="37">
        <v>35538</v>
      </c>
      <c r="H26" s="37" t="s">
        <v>483</v>
      </c>
      <c r="I26" s="37" t="s">
        <v>72</v>
      </c>
      <c r="J26" s="37">
        <v>17000</v>
      </c>
      <c r="K26" s="45"/>
    </row>
    <row r="27" spans="2:11" ht="15" x14ac:dyDescent="0.25">
      <c r="B27" s="46">
        <v>22</v>
      </c>
      <c r="C27" s="39" t="s">
        <v>566</v>
      </c>
      <c r="D27" s="39" t="s">
        <v>591</v>
      </c>
      <c r="E27" s="39" t="s">
        <v>503</v>
      </c>
      <c r="F27" s="40" t="s">
        <v>67</v>
      </c>
      <c r="G27" s="39">
        <v>30384</v>
      </c>
      <c r="H27" s="39" t="s">
        <v>484</v>
      </c>
      <c r="I27" s="39" t="s">
        <v>72</v>
      </c>
      <c r="J27" s="39">
        <v>17025</v>
      </c>
      <c r="K27" s="47"/>
    </row>
    <row r="28" spans="2:11" ht="15" x14ac:dyDescent="0.25">
      <c r="B28" s="44">
        <v>23</v>
      </c>
      <c r="C28" s="37" t="s">
        <v>560</v>
      </c>
      <c r="D28" s="37" t="s">
        <v>614</v>
      </c>
      <c r="E28" s="37" t="s">
        <v>639</v>
      </c>
      <c r="F28" s="38" t="s">
        <v>67</v>
      </c>
      <c r="G28" s="37">
        <v>30339</v>
      </c>
      <c r="H28" s="37" t="s">
        <v>484</v>
      </c>
      <c r="I28" s="37" t="s">
        <v>72</v>
      </c>
      <c r="J28" s="37">
        <v>17000</v>
      </c>
      <c r="K28" s="45" t="s">
        <v>656</v>
      </c>
    </row>
    <row r="29" spans="2:11" ht="15" x14ac:dyDescent="0.25">
      <c r="B29" s="46">
        <v>24</v>
      </c>
      <c r="C29" s="39" t="s">
        <v>574</v>
      </c>
      <c r="D29" s="39" t="s">
        <v>594</v>
      </c>
      <c r="E29" s="39" t="s">
        <v>620</v>
      </c>
      <c r="F29" s="40" t="s">
        <v>67</v>
      </c>
      <c r="G29" s="39">
        <v>34033</v>
      </c>
      <c r="H29" s="39" t="s">
        <v>480</v>
      </c>
      <c r="I29" s="39" t="s">
        <v>73</v>
      </c>
      <c r="J29" s="39">
        <v>5810</v>
      </c>
      <c r="K29" s="47"/>
    </row>
    <row r="30" spans="2:11" ht="15" x14ac:dyDescent="0.25">
      <c r="B30" s="44">
        <v>25</v>
      </c>
      <c r="C30" s="37" t="s">
        <v>550</v>
      </c>
      <c r="D30" s="37" t="s">
        <v>610</v>
      </c>
      <c r="E30" s="37" t="s">
        <v>636</v>
      </c>
      <c r="F30" s="38" t="s">
        <v>69</v>
      </c>
      <c r="G30" s="37">
        <v>31450</v>
      </c>
      <c r="H30" s="37" t="s">
        <v>484</v>
      </c>
      <c r="I30" s="37" t="s">
        <v>73</v>
      </c>
      <c r="J30" s="37">
        <v>5816</v>
      </c>
      <c r="K30" s="45"/>
    </row>
    <row r="31" spans="2:11" ht="15" x14ac:dyDescent="0.25">
      <c r="B31" s="46">
        <v>26</v>
      </c>
      <c r="C31" s="39" t="s">
        <v>582</v>
      </c>
      <c r="D31" s="39" t="s">
        <v>600</v>
      </c>
      <c r="E31" s="39" t="s">
        <v>518</v>
      </c>
      <c r="F31" s="40" t="s">
        <v>67</v>
      </c>
      <c r="G31" s="39">
        <v>36010</v>
      </c>
      <c r="H31" s="39" t="s">
        <v>310</v>
      </c>
      <c r="I31" s="39" t="s">
        <v>75</v>
      </c>
      <c r="J31" s="39">
        <v>5890</v>
      </c>
      <c r="K31" s="47"/>
    </row>
    <row r="32" spans="2:11" ht="15" x14ac:dyDescent="0.25">
      <c r="B32" s="44">
        <v>27</v>
      </c>
      <c r="C32" s="37" t="s">
        <v>583</v>
      </c>
      <c r="D32" s="37" t="s">
        <v>601</v>
      </c>
      <c r="E32" s="37" t="s">
        <v>629</v>
      </c>
      <c r="F32" s="38" t="s">
        <v>69</v>
      </c>
      <c r="G32" s="37">
        <v>36504</v>
      </c>
      <c r="H32" s="37" t="s">
        <v>480</v>
      </c>
      <c r="I32" s="37" t="s">
        <v>73</v>
      </c>
      <c r="J32" s="37">
        <v>6120</v>
      </c>
      <c r="K32" s="45"/>
    </row>
    <row r="33" spans="2:11" ht="15" x14ac:dyDescent="0.25">
      <c r="B33" s="46">
        <v>28</v>
      </c>
      <c r="C33" s="39" t="s">
        <v>536</v>
      </c>
      <c r="D33" s="39" t="s">
        <v>603</v>
      </c>
      <c r="E33" s="39" t="s">
        <v>537</v>
      </c>
      <c r="F33" s="40" t="s">
        <v>69</v>
      </c>
      <c r="G33" s="39">
        <v>30267</v>
      </c>
      <c r="H33" s="39" t="s">
        <v>483</v>
      </c>
      <c r="I33" s="39" t="s">
        <v>73</v>
      </c>
      <c r="J33" s="39">
        <v>6350</v>
      </c>
      <c r="K33" s="47"/>
    </row>
    <row r="34" spans="2:11" ht="15" x14ac:dyDescent="0.25">
      <c r="B34" s="44">
        <v>29</v>
      </c>
      <c r="C34" s="37" t="s">
        <v>539</v>
      </c>
      <c r="D34" s="37" t="s">
        <v>605</v>
      </c>
      <c r="E34" s="37" t="s">
        <v>492</v>
      </c>
      <c r="F34" s="38" t="s">
        <v>69</v>
      </c>
      <c r="G34" s="37">
        <v>33500</v>
      </c>
      <c r="H34" s="37" t="s">
        <v>480</v>
      </c>
      <c r="I34" s="37" t="s">
        <v>73</v>
      </c>
      <c r="J34" s="37">
        <v>6380</v>
      </c>
      <c r="K34" s="45"/>
    </row>
    <row r="35" spans="2:11" ht="15" x14ac:dyDescent="0.25">
      <c r="B35" s="46">
        <v>30</v>
      </c>
      <c r="C35" s="39" t="s">
        <v>329</v>
      </c>
      <c r="D35" s="39" t="s">
        <v>599</v>
      </c>
      <c r="E35" s="39" t="s">
        <v>627</v>
      </c>
      <c r="F35" s="40" t="s">
        <v>67</v>
      </c>
      <c r="G35" s="39">
        <v>31250</v>
      </c>
      <c r="H35" s="39" t="s">
        <v>482</v>
      </c>
      <c r="I35" s="39" t="s">
        <v>73</v>
      </c>
      <c r="J35" s="39">
        <v>6610</v>
      </c>
      <c r="K35" s="47"/>
    </row>
    <row r="36" spans="2:11" ht="15" x14ac:dyDescent="0.25">
      <c r="B36" s="44">
        <v>31</v>
      </c>
      <c r="C36" s="37" t="s">
        <v>585</v>
      </c>
      <c r="D36" s="37" t="s">
        <v>74</v>
      </c>
      <c r="E36" s="37" t="s">
        <v>634</v>
      </c>
      <c r="F36" s="38" t="s">
        <v>69</v>
      </c>
      <c r="G36" s="37">
        <v>32430</v>
      </c>
      <c r="H36" s="37" t="s">
        <v>312</v>
      </c>
      <c r="I36" s="37" t="s">
        <v>73</v>
      </c>
      <c r="J36" s="37">
        <v>6840</v>
      </c>
      <c r="K36" s="45"/>
    </row>
    <row r="37" spans="2:11" ht="15" x14ac:dyDescent="0.25">
      <c r="B37" s="46">
        <v>32</v>
      </c>
      <c r="C37" s="39" t="s">
        <v>576</v>
      </c>
      <c r="D37" s="39" t="s">
        <v>331</v>
      </c>
      <c r="E37" s="39" t="s">
        <v>623</v>
      </c>
      <c r="F37" s="40" t="s">
        <v>67</v>
      </c>
      <c r="G37" s="39">
        <v>30602</v>
      </c>
      <c r="H37" s="39" t="s">
        <v>310</v>
      </c>
      <c r="I37" s="39" t="s">
        <v>73</v>
      </c>
      <c r="J37" s="39">
        <v>7070</v>
      </c>
      <c r="K37" s="47"/>
    </row>
    <row r="38" spans="2:11" ht="15" x14ac:dyDescent="0.25">
      <c r="B38" s="44">
        <v>33</v>
      </c>
      <c r="C38" s="37" t="s">
        <v>575</v>
      </c>
      <c r="D38" s="37" t="s">
        <v>595</v>
      </c>
      <c r="E38" s="37" t="s">
        <v>622</v>
      </c>
      <c r="F38" s="38" t="s">
        <v>67</v>
      </c>
      <c r="G38" s="37">
        <v>36452</v>
      </c>
      <c r="H38" s="37" t="s">
        <v>310</v>
      </c>
      <c r="I38" s="37" t="s">
        <v>73</v>
      </c>
      <c r="J38" s="37">
        <v>7300</v>
      </c>
      <c r="K38" s="45"/>
    </row>
    <row r="39" spans="2:11" ht="15" x14ac:dyDescent="0.25">
      <c r="B39" s="46">
        <v>34</v>
      </c>
      <c r="C39" s="39" t="s">
        <v>547</v>
      </c>
      <c r="D39" s="39" t="s">
        <v>608</v>
      </c>
      <c r="E39" s="39" t="s">
        <v>635</v>
      </c>
      <c r="F39" s="40" t="s">
        <v>67</v>
      </c>
      <c r="G39" s="39">
        <v>33370</v>
      </c>
      <c r="H39" s="39" t="s">
        <v>643</v>
      </c>
      <c r="I39" s="39" t="s">
        <v>73</v>
      </c>
      <c r="J39" s="39">
        <v>7530</v>
      </c>
      <c r="K39" s="47"/>
    </row>
    <row r="40" spans="2:11" ht="15" x14ac:dyDescent="0.25">
      <c r="B40" s="44">
        <v>35</v>
      </c>
      <c r="C40" s="37" t="s">
        <v>578</v>
      </c>
      <c r="D40" s="37" t="s">
        <v>510</v>
      </c>
      <c r="E40" s="37" t="s">
        <v>70</v>
      </c>
      <c r="F40" s="38" t="s">
        <v>67</v>
      </c>
      <c r="G40" s="37">
        <v>32608</v>
      </c>
      <c r="H40" s="37" t="s">
        <v>310</v>
      </c>
      <c r="I40" s="37" t="s">
        <v>73</v>
      </c>
      <c r="J40" s="37">
        <v>7760</v>
      </c>
      <c r="K40" s="45"/>
    </row>
    <row r="41" spans="2:11" ht="15" x14ac:dyDescent="0.25">
      <c r="B41" s="46">
        <v>36</v>
      </c>
      <c r="C41" s="39" t="s">
        <v>527</v>
      </c>
      <c r="D41" s="39" t="s">
        <v>333</v>
      </c>
      <c r="E41" s="39" t="s">
        <v>327</v>
      </c>
      <c r="F41" s="40" t="s">
        <v>69</v>
      </c>
      <c r="G41" s="39">
        <v>31268</v>
      </c>
      <c r="H41" s="39" t="s">
        <v>484</v>
      </c>
      <c r="I41" s="39" t="s">
        <v>73</v>
      </c>
      <c r="J41" s="39">
        <v>7990</v>
      </c>
      <c r="K41" s="47"/>
    </row>
    <row r="42" spans="2:11" ht="15" x14ac:dyDescent="0.25">
      <c r="B42" s="44">
        <v>37</v>
      </c>
      <c r="C42" s="37" t="s">
        <v>531</v>
      </c>
      <c r="D42" s="37" t="s">
        <v>598</v>
      </c>
      <c r="E42" s="37" t="s">
        <v>71</v>
      </c>
      <c r="F42" s="38" t="s">
        <v>69</v>
      </c>
      <c r="G42" s="37">
        <v>30880</v>
      </c>
      <c r="H42" s="37" t="s">
        <v>310</v>
      </c>
      <c r="I42" s="37" t="s">
        <v>73</v>
      </c>
      <c r="J42" s="37">
        <v>8220</v>
      </c>
      <c r="K42" s="45"/>
    </row>
    <row r="43" spans="2:11" ht="15" x14ac:dyDescent="0.25">
      <c r="B43" s="46">
        <v>38</v>
      </c>
      <c r="C43" s="39" t="s">
        <v>577</v>
      </c>
      <c r="D43" s="39" t="s">
        <v>526</v>
      </c>
      <c r="E43" s="39" t="s">
        <v>624</v>
      </c>
      <c r="F43" s="40" t="s">
        <v>69</v>
      </c>
      <c r="G43" s="39">
        <v>33431</v>
      </c>
      <c r="H43" s="39" t="s">
        <v>310</v>
      </c>
      <c r="I43" s="39" t="s">
        <v>73</v>
      </c>
      <c r="J43" s="39">
        <v>8450</v>
      </c>
      <c r="K43" s="47"/>
    </row>
    <row r="44" spans="2:11" ht="15" x14ac:dyDescent="0.25">
      <c r="B44" s="44">
        <v>39</v>
      </c>
      <c r="C44" s="37" t="s">
        <v>572</v>
      </c>
      <c r="D44" s="37" t="s">
        <v>592</v>
      </c>
      <c r="E44" s="37" t="s">
        <v>513</v>
      </c>
      <c r="F44" s="38" t="s">
        <v>69</v>
      </c>
      <c r="G44" s="37">
        <v>34957</v>
      </c>
      <c r="H44" s="37" t="s">
        <v>310</v>
      </c>
      <c r="I44" s="37" t="s">
        <v>73</v>
      </c>
      <c r="J44" s="37">
        <v>6120</v>
      </c>
      <c r="K44" s="45"/>
    </row>
    <row r="45" spans="2:11" ht="15" x14ac:dyDescent="0.25">
      <c r="B45" s="46">
        <v>40</v>
      </c>
      <c r="C45" s="39" t="s">
        <v>542</v>
      </c>
      <c r="D45" s="39" t="s">
        <v>543</v>
      </c>
      <c r="E45" s="39" t="s">
        <v>633</v>
      </c>
      <c r="F45" s="40" t="s">
        <v>67</v>
      </c>
      <c r="G45" s="39">
        <v>31841</v>
      </c>
      <c r="H45" s="39" t="s">
        <v>310</v>
      </c>
      <c r="I45" s="39" t="s">
        <v>73</v>
      </c>
      <c r="J45" s="39">
        <v>6120</v>
      </c>
      <c r="K45" s="47"/>
    </row>
    <row r="46" spans="2:11" ht="15" x14ac:dyDescent="0.25">
      <c r="B46" s="44">
        <v>41</v>
      </c>
      <c r="C46" s="37" t="s">
        <v>564</v>
      </c>
      <c r="D46" s="37" t="s">
        <v>615</v>
      </c>
      <c r="E46" s="37" t="s">
        <v>640</v>
      </c>
      <c r="F46" s="38" t="s">
        <v>69</v>
      </c>
      <c r="G46" s="37">
        <v>30616</v>
      </c>
      <c r="H46" s="37" t="s">
        <v>311</v>
      </c>
      <c r="I46" s="37" t="s">
        <v>73</v>
      </c>
      <c r="J46" s="37">
        <v>6120</v>
      </c>
      <c r="K46" s="45"/>
    </row>
    <row r="47" spans="2:11" ht="15" x14ac:dyDescent="0.25">
      <c r="B47" s="46">
        <v>42</v>
      </c>
      <c r="C47" s="39" t="s">
        <v>582</v>
      </c>
      <c r="D47" s="39" t="s">
        <v>600</v>
      </c>
      <c r="E47" s="39" t="s">
        <v>518</v>
      </c>
      <c r="F47" s="40" t="s">
        <v>67</v>
      </c>
      <c r="G47" s="39">
        <v>36010</v>
      </c>
      <c r="H47" s="39" t="s">
        <v>310</v>
      </c>
      <c r="I47" s="39" t="s">
        <v>75</v>
      </c>
      <c r="J47" s="39">
        <v>5890</v>
      </c>
      <c r="K47" s="47"/>
    </row>
    <row r="48" spans="2:11" ht="15" x14ac:dyDescent="0.25">
      <c r="B48" s="44">
        <v>43</v>
      </c>
      <c r="C48" s="37" t="s">
        <v>524</v>
      </c>
      <c r="D48" s="37" t="s">
        <v>525</v>
      </c>
      <c r="E48" s="37" t="s">
        <v>621</v>
      </c>
      <c r="F48" s="38" t="s">
        <v>69</v>
      </c>
      <c r="G48" s="37">
        <v>34189</v>
      </c>
      <c r="H48" s="37" t="s">
        <v>310</v>
      </c>
      <c r="I48" s="37" t="s">
        <v>75</v>
      </c>
      <c r="J48" s="37">
        <v>6394</v>
      </c>
      <c r="K48" s="45"/>
    </row>
    <row r="49" spans="2:11" ht="15" x14ac:dyDescent="0.25">
      <c r="B49" s="46">
        <v>44</v>
      </c>
      <c r="C49" s="39" t="s">
        <v>566</v>
      </c>
      <c r="D49" s="39" t="s">
        <v>591</v>
      </c>
      <c r="E49" s="39" t="s">
        <v>503</v>
      </c>
      <c r="F49" s="40" t="s">
        <v>67</v>
      </c>
      <c r="G49" s="39">
        <v>30384</v>
      </c>
      <c r="H49" s="39" t="s">
        <v>484</v>
      </c>
      <c r="I49" s="39" t="s">
        <v>72</v>
      </c>
      <c r="J49" s="39">
        <v>17025</v>
      </c>
      <c r="K49" s="47"/>
    </row>
    <row r="50" spans="2:11" ht="15" x14ac:dyDescent="0.25">
      <c r="B50" s="44">
        <v>45</v>
      </c>
      <c r="C50" s="37" t="s">
        <v>590</v>
      </c>
      <c r="D50" s="37" t="s">
        <v>565</v>
      </c>
      <c r="E50" s="37" t="s">
        <v>642</v>
      </c>
      <c r="F50" s="38" t="s">
        <v>69</v>
      </c>
      <c r="G50" s="37">
        <v>30564</v>
      </c>
      <c r="H50" s="37" t="s">
        <v>482</v>
      </c>
      <c r="I50" s="37" t="s">
        <v>75</v>
      </c>
      <c r="J50" s="37">
        <v>17529</v>
      </c>
      <c r="K50" s="45"/>
    </row>
    <row r="51" spans="2:11" ht="15" x14ac:dyDescent="0.25">
      <c r="B51" s="46">
        <v>46</v>
      </c>
      <c r="C51" s="39" t="s">
        <v>587</v>
      </c>
      <c r="D51" s="39" t="s">
        <v>553</v>
      </c>
      <c r="E51" s="39" t="s">
        <v>554</v>
      </c>
      <c r="F51" s="40" t="s">
        <v>67</v>
      </c>
      <c r="G51" s="39">
        <v>34630</v>
      </c>
      <c r="H51" s="39" t="s">
        <v>484</v>
      </c>
      <c r="I51" s="39" t="s">
        <v>75</v>
      </c>
      <c r="J51" s="39">
        <v>18033</v>
      </c>
      <c r="K51" s="47"/>
    </row>
    <row r="52" spans="2:11" ht="15" x14ac:dyDescent="0.25">
      <c r="B52" s="44">
        <v>47</v>
      </c>
      <c r="C52" s="37" t="s">
        <v>516</v>
      </c>
      <c r="D52" s="37" t="s">
        <v>517</v>
      </c>
      <c r="E52" s="37" t="s">
        <v>518</v>
      </c>
      <c r="F52" s="38" t="s">
        <v>69</v>
      </c>
      <c r="G52" s="37">
        <v>31122</v>
      </c>
      <c r="H52" s="37" t="s">
        <v>310</v>
      </c>
      <c r="I52" s="37" t="s">
        <v>75</v>
      </c>
      <c r="J52" s="37">
        <v>18537</v>
      </c>
      <c r="K52" s="45"/>
    </row>
    <row r="53" spans="2:11" ht="15" x14ac:dyDescent="0.25">
      <c r="B53" s="46">
        <v>48</v>
      </c>
      <c r="C53" s="39" t="s">
        <v>541</v>
      </c>
      <c r="D53" s="39" t="s">
        <v>607</v>
      </c>
      <c r="E53" s="39" t="s">
        <v>632</v>
      </c>
      <c r="F53" s="40" t="s">
        <v>67</v>
      </c>
      <c r="G53" s="39">
        <v>29787</v>
      </c>
      <c r="H53" s="39" t="s">
        <v>483</v>
      </c>
      <c r="I53" s="39" t="s">
        <v>75</v>
      </c>
      <c r="J53" s="39">
        <v>19041</v>
      </c>
      <c r="K53" s="47"/>
    </row>
    <row r="54" spans="2:11" ht="15" x14ac:dyDescent="0.25">
      <c r="B54" s="44">
        <v>49</v>
      </c>
      <c r="C54" s="37" t="s">
        <v>588</v>
      </c>
      <c r="D54" s="37" t="s">
        <v>613</v>
      </c>
      <c r="E54" s="37" t="s">
        <v>559</v>
      </c>
      <c r="F54" s="38" t="s">
        <v>67</v>
      </c>
      <c r="G54" s="37">
        <v>33048</v>
      </c>
      <c r="H54" s="37" t="s">
        <v>312</v>
      </c>
      <c r="I54" s="37" t="s">
        <v>75</v>
      </c>
      <c r="J54" s="37">
        <v>19545</v>
      </c>
      <c r="K54" s="45"/>
    </row>
    <row r="55" spans="2:11" ht="15" x14ac:dyDescent="0.25">
      <c r="B55" s="46">
        <v>50</v>
      </c>
      <c r="C55" s="39" t="s">
        <v>555</v>
      </c>
      <c r="D55" s="39" t="s">
        <v>556</v>
      </c>
      <c r="E55" s="39" t="s">
        <v>557</v>
      </c>
      <c r="F55" s="40" t="s">
        <v>67</v>
      </c>
      <c r="G55" s="39">
        <v>31010</v>
      </c>
      <c r="H55" s="39" t="s">
        <v>482</v>
      </c>
      <c r="I55" s="39" t="s">
        <v>75</v>
      </c>
      <c r="J55" s="39">
        <v>20049</v>
      </c>
      <c r="K55" s="47"/>
    </row>
    <row r="56" spans="2:11" ht="15" x14ac:dyDescent="0.25">
      <c r="B56" s="44">
        <v>51</v>
      </c>
      <c r="C56" s="37" t="s">
        <v>519</v>
      </c>
      <c r="D56" s="37" t="s">
        <v>520</v>
      </c>
      <c r="E56" s="37" t="s">
        <v>328</v>
      </c>
      <c r="F56" s="38" t="s">
        <v>67</v>
      </c>
      <c r="G56" s="37">
        <v>34161</v>
      </c>
      <c r="H56" s="37" t="s">
        <v>312</v>
      </c>
      <c r="I56" s="37" t="s">
        <v>75</v>
      </c>
      <c r="J56" s="37">
        <v>20553</v>
      </c>
      <c r="K56" s="45"/>
    </row>
    <row r="57" spans="2:11" ht="15" x14ac:dyDescent="0.25">
      <c r="B57" s="46">
        <v>52</v>
      </c>
      <c r="C57" s="39" t="s">
        <v>514</v>
      </c>
      <c r="D57" s="39" t="s">
        <v>515</v>
      </c>
      <c r="E57" s="39" t="s">
        <v>431</v>
      </c>
      <c r="F57" s="40" t="s">
        <v>67</v>
      </c>
      <c r="G57" s="39">
        <v>30274</v>
      </c>
      <c r="H57" s="39" t="s">
        <v>482</v>
      </c>
      <c r="I57" s="39" t="s">
        <v>75</v>
      </c>
      <c r="J57" s="39">
        <v>21057</v>
      </c>
      <c r="K57" s="47"/>
    </row>
    <row r="58" spans="2:11" ht="15" x14ac:dyDescent="0.25">
      <c r="B58" s="44">
        <v>53</v>
      </c>
      <c r="C58" s="37" t="s">
        <v>558</v>
      </c>
      <c r="D58" s="37" t="s">
        <v>607</v>
      </c>
      <c r="E58" s="37" t="s">
        <v>638</v>
      </c>
      <c r="F58" s="38" t="s">
        <v>69</v>
      </c>
      <c r="G58" s="37">
        <v>31745</v>
      </c>
      <c r="H58" s="37" t="s">
        <v>482</v>
      </c>
      <c r="I58" s="37" t="s">
        <v>72</v>
      </c>
      <c r="J58" s="37">
        <v>9500</v>
      </c>
      <c r="K58" s="45"/>
    </row>
    <row r="59" spans="2:11" ht="15" x14ac:dyDescent="0.25">
      <c r="B59" s="46">
        <v>54</v>
      </c>
      <c r="C59" s="39" t="s">
        <v>569</v>
      </c>
      <c r="D59" s="39" t="s">
        <v>506</v>
      </c>
      <c r="E59" s="39" t="s">
        <v>507</v>
      </c>
      <c r="F59" s="40" t="s">
        <v>67</v>
      </c>
      <c r="G59" s="39">
        <v>29492</v>
      </c>
      <c r="H59" s="39" t="s">
        <v>311</v>
      </c>
      <c r="I59" s="39" t="s">
        <v>75</v>
      </c>
      <c r="J59" s="39">
        <v>9300</v>
      </c>
      <c r="K59" s="47" t="s">
        <v>657</v>
      </c>
    </row>
    <row r="60" spans="2:11" ht="15.6" thickBot="1" x14ac:dyDescent="0.3">
      <c r="B60" s="48">
        <v>55</v>
      </c>
      <c r="C60" s="49" t="s">
        <v>567</v>
      </c>
      <c r="D60" s="49" t="s">
        <v>504</v>
      </c>
      <c r="E60" s="49" t="s">
        <v>505</v>
      </c>
      <c r="F60" s="50" t="s">
        <v>67</v>
      </c>
      <c r="G60" s="49">
        <v>33582</v>
      </c>
      <c r="H60" s="49" t="s">
        <v>311</v>
      </c>
      <c r="I60" s="49" t="s">
        <v>75</v>
      </c>
      <c r="J60" s="49">
        <v>9300</v>
      </c>
      <c r="K60" s="51" t="s">
        <v>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73E9-A43C-4067-A2DA-65FB76D67156}">
  <dimension ref="B1:O320"/>
  <sheetViews>
    <sheetView workbookViewId="0"/>
  </sheetViews>
  <sheetFormatPr defaultColWidth="8.6640625" defaultRowHeight="14.4" x14ac:dyDescent="0.3"/>
  <cols>
    <col min="1" max="1" width="3.5546875" style="1" customWidth="1"/>
    <col min="2" max="2" width="23.5546875" style="1" bestFit="1" customWidth="1"/>
    <col min="3" max="3" width="14.109375" style="1" bestFit="1" customWidth="1"/>
    <col min="4" max="4" width="8.88671875" style="1" bestFit="1" customWidth="1"/>
    <col min="5" max="5" width="20" style="1" customWidth="1"/>
    <col min="6" max="6" width="15.33203125" style="1" customWidth="1"/>
    <col min="7" max="7" width="10" style="1" customWidth="1"/>
    <col min="8" max="8" width="16.33203125" style="1" customWidth="1"/>
    <col min="9" max="9" width="14.5546875" style="1" customWidth="1"/>
    <col min="10" max="10" width="15.44140625" style="1" customWidth="1"/>
    <col min="11" max="11" width="21.88671875" style="1" bestFit="1" customWidth="1"/>
    <col min="12" max="12" width="4.6640625" style="1" customWidth="1"/>
    <col min="13" max="16384" width="8.6640625" style="1"/>
  </cols>
  <sheetData>
    <row r="1" spans="2:15" ht="18" x14ac:dyDescent="0.3">
      <c r="B1" s="23"/>
    </row>
    <row r="2" spans="2:15" ht="32.4" x14ac:dyDescent="0.35">
      <c r="B2" s="115" t="s">
        <v>241</v>
      </c>
      <c r="C2" s="32" t="s">
        <v>260</v>
      </c>
      <c r="D2" s="32" t="s">
        <v>261</v>
      </c>
      <c r="E2" s="32" t="s">
        <v>24</v>
      </c>
      <c r="F2" s="32" t="s">
        <v>262</v>
      </c>
      <c r="G2" s="33" t="s">
        <v>263</v>
      </c>
      <c r="H2" s="31" t="s">
        <v>264</v>
      </c>
      <c r="I2" s="32" t="s">
        <v>265</v>
      </c>
      <c r="J2" s="32" t="s">
        <v>266</v>
      </c>
      <c r="K2" s="116" t="s">
        <v>267</v>
      </c>
      <c r="M2" s="2" t="s">
        <v>9</v>
      </c>
    </row>
    <row r="3" spans="2:15" ht="18" x14ac:dyDescent="0.35">
      <c r="B3" s="117" t="s">
        <v>268</v>
      </c>
      <c r="C3" s="24" t="s">
        <v>269</v>
      </c>
      <c r="D3" s="24">
        <v>2800</v>
      </c>
      <c r="E3" s="24" t="s">
        <v>270</v>
      </c>
      <c r="F3" s="24">
        <v>34</v>
      </c>
      <c r="G3" s="24">
        <v>3</v>
      </c>
      <c r="H3" s="24">
        <v>95200</v>
      </c>
      <c r="I3" s="24">
        <v>8400</v>
      </c>
      <c r="J3" s="114">
        <v>43466</v>
      </c>
      <c r="K3" s="118" t="s">
        <v>680</v>
      </c>
      <c r="M3" s="3" t="s">
        <v>296</v>
      </c>
    </row>
    <row r="4" spans="2:15" ht="18" x14ac:dyDescent="0.35">
      <c r="B4" s="119" t="s">
        <v>271</v>
      </c>
      <c r="C4" s="26" t="s">
        <v>272</v>
      </c>
      <c r="D4" s="26">
        <v>3880</v>
      </c>
      <c r="E4" s="25" t="s">
        <v>273</v>
      </c>
      <c r="F4" s="26">
        <v>24</v>
      </c>
      <c r="G4" s="26">
        <v>1</v>
      </c>
      <c r="H4" s="26">
        <v>93120</v>
      </c>
      <c r="I4" s="26">
        <v>3880</v>
      </c>
      <c r="J4" s="27">
        <v>43468</v>
      </c>
      <c r="K4" s="120" t="s">
        <v>488</v>
      </c>
      <c r="M4" s="5" t="s">
        <v>297</v>
      </c>
      <c r="N4" s="30"/>
      <c r="O4" s="30"/>
    </row>
    <row r="5" spans="2:15" ht="18" x14ac:dyDescent="0.35">
      <c r="B5" s="117" t="s">
        <v>268</v>
      </c>
      <c r="C5" s="28" t="s">
        <v>269</v>
      </c>
      <c r="D5" s="28">
        <v>2800</v>
      </c>
      <c r="E5" s="24" t="s">
        <v>273</v>
      </c>
      <c r="F5" s="28">
        <v>38</v>
      </c>
      <c r="G5" s="28">
        <v>3</v>
      </c>
      <c r="H5" s="28">
        <v>106400</v>
      </c>
      <c r="I5" s="28">
        <v>8400</v>
      </c>
      <c r="J5" s="29">
        <v>43471</v>
      </c>
      <c r="K5" s="121" t="s">
        <v>680</v>
      </c>
      <c r="M5" s="5" t="s">
        <v>298</v>
      </c>
      <c r="N5" s="30"/>
      <c r="O5" s="30"/>
    </row>
    <row r="6" spans="2:15" ht="18" x14ac:dyDescent="0.35">
      <c r="B6" s="119" t="s">
        <v>274</v>
      </c>
      <c r="C6" s="26" t="s">
        <v>275</v>
      </c>
      <c r="D6" s="26">
        <v>900</v>
      </c>
      <c r="E6" s="25" t="s">
        <v>276</v>
      </c>
      <c r="F6" s="26">
        <v>13</v>
      </c>
      <c r="G6" s="26">
        <v>3</v>
      </c>
      <c r="H6" s="26">
        <v>11700</v>
      </c>
      <c r="I6" s="26">
        <v>2700</v>
      </c>
      <c r="J6" s="27">
        <v>43472</v>
      </c>
      <c r="K6" s="120" t="s">
        <v>666</v>
      </c>
      <c r="M6" s="5" t="s">
        <v>299</v>
      </c>
      <c r="N6" s="30"/>
      <c r="O6" s="30"/>
    </row>
    <row r="7" spans="2:15" ht="18" x14ac:dyDescent="0.35">
      <c r="B7" s="117" t="s">
        <v>274</v>
      </c>
      <c r="C7" s="28" t="s">
        <v>277</v>
      </c>
      <c r="D7" s="28">
        <v>2500</v>
      </c>
      <c r="E7" s="24" t="s">
        <v>273</v>
      </c>
      <c r="F7" s="28">
        <v>26</v>
      </c>
      <c r="G7" s="28">
        <v>0</v>
      </c>
      <c r="H7" s="28">
        <v>65000</v>
      </c>
      <c r="I7" s="28">
        <v>0</v>
      </c>
      <c r="J7" s="29">
        <v>43473</v>
      </c>
      <c r="K7" s="121" t="s">
        <v>666</v>
      </c>
      <c r="M7" s="5" t="s">
        <v>300</v>
      </c>
      <c r="N7" s="30"/>
      <c r="O7" s="30"/>
    </row>
    <row r="8" spans="2:15" ht="15.6" x14ac:dyDescent="0.3">
      <c r="B8" s="119" t="s">
        <v>278</v>
      </c>
      <c r="C8" s="26" t="s">
        <v>275</v>
      </c>
      <c r="D8" s="26">
        <v>3900</v>
      </c>
      <c r="E8" s="25" t="s">
        <v>270</v>
      </c>
      <c r="F8" s="26">
        <v>46</v>
      </c>
      <c r="G8" s="26">
        <v>4</v>
      </c>
      <c r="H8" s="26">
        <v>179400</v>
      </c>
      <c r="I8" s="26">
        <v>15600</v>
      </c>
      <c r="J8" s="27">
        <v>43473</v>
      </c>
      <c r="K8" s="120" t="s">
        <v>488</v>
      </c>
    </row>
    <row r="9" spans="2:15" ht="15.6" x14ac:dyDescent="0.3">
      <c r="B9" s="117" t="s">
        <v>279</v>
      </c>
      <c r="C9" s="28" t="s">
        <v>280</v>
      </c>
      <c r="D9" s="28">
        <v>1100</v>
      </c>
      <c r="E9" s="24" t="s">
        <v>281</v>
      </c>
      <c r="F9" s="28">
        <v>20</v>
      </c>
      <c r="G9" s="28">
        <v>3</v>
      </c>
      <c r="H9" s="28">
        <v>22000</v>
      </c>
      <c r="I9" s="28">
        <v>3300</v>
      </c>
      <c r="J9" s="29">
        <v>43475</v>
      </c>
      <c r="K9" s="121" t="s">
        <v>687</v>
      </c>
    </row>
    <row r="10" spans="2:15" ht="15.6" x14ac:dyDescent="0.3">
      <c r="B10" s="119" t="s">
        <v>282</v>
      </c>
      <c r="C10" s="26" t="s">
        <v>283</v>
      </c>
      <c r="D10" s="26">
        <v>2360</v>
      </c>
      <c r="E10" s="25" t="s">
        <v>270</v>
      </c>
      <c r="F10" s="26">
        <v>20</v>
      </c>
      <c r="G10" s="26">
        <v>3</v>
      </c>
      <c r="H10" s="26">
        <v>47200</v>
      </c>
      <c r="I10" s="26">
        <v>7080</v>
      </c>
      <c r="J10" s="27">
        <v>43478</v>
      </c>
      <c r="K10" s="120" t="s">
        <v>680</v>
      </c>
    </row>
    <row r="11" spans="2:15" ht="15.6" x14ac:dyDescent="0.3">
      <c r="B11" s="117" t="s">
        <v>282</v>
      </c>
      <c r="C11" s="28" t="s">
        <v>284</v>
      </c>
      <c r="D11" s="28">
        <v>4850</v>
      </c>
      <c r="E11" s="24" t="s">
        <v>276</v>
      </c>
      <c r="F11" s="28">
        <v>24</v>
      </c>
      <c r="G11" s="28">
        <v>1</v>
      </c>
      <c r="H11" s="28">
        <v>116400</v>
      </c>
      <c r="I11" s="28">
        <v>4850</v>
      </c>
      <c r="J11" s="29">
        <v>43478</v>
      </c>
      <c r="K11" s="121" t="s">
        <v>498</v>
      </c>
    </row>
    <row r="12" spans="2:15" ht="15.6" x14ac:dyDescent="0.3">
      <c r="B12" s="119" t="s">
        <v>271</v>
      </c>
      <c r="C12" s="26" t="s">
        <v>285</v>
      </c>
      <c r="D12" s="26">
        <v>4100</v>
      </c>
      <c r="E12" s="25" t="s">
        <v>270</v>
      </c>
      <c r="F12" s="26">
        <v>30</v>
      </c>
      <c r="G12" s="26">
        <v>2</v>
      </c>
      <c r="H12" s="26">
        <v>123000</v>
      </c>
      <c r="I12" s="26">
        <v>8200</v>
      </c>
      <c r="J12" s="27">
        <v>43479</v>
      </c>
      <c r="K12" s="120" t="s">
        <v>488</v>
      </c>
    </row>
    <row r="13" spans="2:15" ht="15.6" x14ac:dyDescent="0.3">
      <c r="B13" s="117" t="s">
        <v>282</v>
      </c>
      <c r="C13" s="28" t="s">
        <v>280</v>
      </c>
      <c r="D13" s="28">
        <v>2500</v>
      </c>
      <c r="E13" s="24" t="s">
        <v>286</v>
      </c>
      <c r="F13" s="28">
        <v>49</v>
      </c>
      <c r="G13" s="28">
        <v>2</v>
      </c>
      <c r="H13" s="28">
        <v>122500</v>
      </c>
      <c r="I13" s="28">
        <v>5000</v>
      </c>
      <c r="J13" s="29">
        <v>43480</v>
      </c>
      <c r="K13" s="121" t="s">
        <v>498</v>
      </c>
    </row>
    <row r="14" spans="2:15" ht="15.6" x14ac:dyDescent="0.3">
      <c r="B14" s="119" t="s">
        <v>271</v>
      </c>
      <c r="C14" s="26" t="s">
        <v>285</v>
      </c>
      <c r="D14" s="26">
        <v>4100</v>
      </c>
      <c r="E14" s="25" t="s">
        <v>273</v>
      </c>
      <c r="F14" s="26">
        <v>24</v>
      </c>
      <c r="G14" s="26">
        <v>0</v>
      </c>
      <c r="H14" s="26">
        <v>98400</v>
      </c>
      <c r="I14" s="26">
        <v>0</v>
      </c>
      <c r="J14" s="27">
        <v>43481</v>
      </c>
      <c r="K14" s="120" t="s">
        <v>488</v>
      </c>
    </row>
    <row r="15" spans="2:15" ht="15.6" x14ac:dyDescent="0.3">
      <c r="B15" s="117" t="s">
        <v>268</v>
      </c>
      <c r="C15" s="28" t="s">
        <v>269</v>
      </c>
      <c r="D15" s="28">
        <v>2750</v>
      </c>
      <c r="E15" s="24" t="s">
        <v>276</v>
      </c>
      <c r="F15" s="28">
        <v>23</v>
      </c>
      <c r="G15" s="28">
        <v>0</v>
      </c>
      <c r="H15" s="28">
        <v>63250</v>
      </c>
      <c r="I15" s="28">
        <v>0</v>
      </c>
      <c r="J15" s="29">
        <v>43482</v>
      </c>
      <c r="K15" s="121" t="s">
        <v>680</v>
      </c>
    </row>
    <row r="16" spans="2:15" ht="15.6" x14ac:dyDescent="0.3">
      <c r="B16" s="119" t="s">
        <v>282</v>
      </c>
      <c r="C16" s="26" t="s">
        <v>283</v>
      </c>
      <c r="D16" s="26">
        <v>2400</v>
      </c>
      <c r="E16" s="25" t="s">
        <v>281</v>
      </c>
      <c r="F16" s="26">
        <v>23</v>
      </c>
      <c r="G16" s="26">
        <v>4</v>
      </c>
      <c r="H16" s="26">
        <v>55200</v>
      </c>
      <c r="I16" s="26">
        <v>9600</v>
      </c>
      <c r="J16" s="27">
        <v>43483</v>
      </c>
      <c r="K16" s="120" t="s">
        <v>498</v>
      </c>
    </row>
    <row r="17" spans="2:11" ht="15.6" x14ac:dyDescent="0.3">
      <c r="B17" s="117" t="s">
        <v>274</v>
      </c>
      <c r="C17" s="28" t="s">
        <v>285</v>
      </c>
      <c r="D17" s="28">
        <v>1960</v>
      </c>
      <c r="E17" s="24" t="s">
        <v>287</v>
      </c>
      <c r="F17" s="28">
        <v>33</v>
      </c>
      <c r="G17" s="28">
        <v>0</v>
      </c>
      <c r="H17" s="28">
        <v>64680</v>
      </c>
      <c r="I17" s="28">
        <v>0</v>
      </c>
      <c r="J17" s="29">
        <v>43484</v>
      </c>
      <c r="K17" s="121" t="s">
        <v>488</v>
      </c>
    </row>
    <row r="18" spans="2:11" ht="15.6" x14ac:dyDescent="0.3">
      <c r="B18" s="119" t="s">
        <v>278</v>
      </c>
      <c r="C18" s="26" t="s">
        <v>285</v>
      </c>
      <c r="D18" s="26">
        <v>1800</v>
      </c>
      <c r="E18" s="25" t="s">
        <v>286</v>
      </c>
      <c r="F18" s="26">
        <v>46</v>
      </c>
      <c r="G18" s="26">
        <v>1</v>
      </c>
      <c r="H18" s="26">
        <v>82800</v>
      </c>
      <c r="I18" s="26">
        <v>1800</v>
      </c>
      <c r="J18" s="27">
        <v>43484</v>
      </c>
      <c r="K18" s="120" t="s">
        <v>488</v>
      </c>
    </row>
    <row r="19" spans="2:11" ht="15.6" x14ac:dyDescent="0.3">
      <c r="B19" s="117" t="s">
        <v>271</v>
      </c>
      <c r="C19" s="28" t="s">
        <v>285</v>
      </c>
      <c r="D19" s="28">
        <v>4100</v>
      </c>
      <c r="E19" s="24" t="s">
        <v>287</v>
      </c>
      <c r="F19" s="28">
        <v>27</v>
      </c>
      <c r="G19" s="28">
        <v>4</v>
      </c>
      <c r="H19" s="28">
        <v>110700</v>
      </c>
      <c r="I19" s="28">
        <v>16400</v>
      </c>
      <c r="J19" s="29">
        <v>43485</v>
      </c>
      <c r="K19" s="121" t="s">
        <v>488</v>
      </c>
    </row>
    <row r="20" spans="2:11" ht="15.6" x14ac:dyDescent="0.3">
      <c r="B20" s="119" t="s">
        <v>288</v>
      </c>
      <c r="C20" s="26" t="s">
        <v>289</v>
      </c>
      <c r="D20" s="26">
        <v>1280</v>
      </c>
      <c r="E20" s="25" t="s">
        <v>273</v>
      </c>
      <c r="F20" s="26">
        <v>15</v>
      </c>
      <c r="G20" s="26">
        <v>4</v>
      </c>
      <c r="H20" s="26">
        <v>19200</v>
      </c>
      <c r="I20" s="26">
        <v>5120</v>
      </c>
      <c r="J20" s="27">
        <v>43487</v>
      </c>
      <c r="K20" s="120" t="s">
        <v>666</v>
      </c>
    </row>
    <row r="21" spans="2:11" ht="15.6" x14ac:dyDescent="0.3">
      <c r="B21" s="117" t="s">
        <v>288</v>
      </c>
      <c r="C21" s="28" t="s">
        <v>284</v>
      </c>
      <c r="D21" s="28">
        <v>3380</v>
      </c>
      <c r="E21" s="24" t="s">
        <v>273</v>
      </c>
      <c r="F21" s="28">
        <v>35</v>
      </c>
      <c r="G21" s="28">
        <v>3</v>
      </c>
      <c r="H21" s="28">
        <v>118300</v>
      </c>
      <c r="I21" s="28">
        <v>10140</v>
      </c>
      <c r="J21" s="29">
        <v>43488</v>
      </c>
      <c r="K21" s="121" t="s">
        <v>666</v>
      </c>
    </row>
    <row r="22" spans="2:11" ht="15.6" x14ac:dyDescent="0.3">
      <c r="B22" s="119" t="s">
        <v>271</v>
      </c>
      <c r="C22" s="26" t="s">
        <v>284</v>
      </c>
      <c r="D22" s="26">
        <v>2870</v>
      </c>
      <c r="E22" s="25" t="s">
        <v>273</v>
      </c>
      <c r="F22" s="26">
        <v>11</v>
      </c>
      <c r="G22" s="26">
        <v>2</v>
      </c>
      <c r="H22" s="26">
        <v>31570</v>
      </c>
      <c r="I22" s="26">
        <v>5740</v>
      </c>
      <c r="J22" s="27">
        <v>43488</v>
      </c>
      <c r="K22" s="120" t="s">
        <v>488</v>
      </c>
    </row>
    <row r="23" spans="2:11" ht="15.6" x14ac:dyDescent="0.3">
      <c r="B23" s="117" t="s">
        <v>290</v>
      </c>
      <c r="C23" s="28" t="s">
        <v>284</v>
      </c>
      <c r="D23" s="28">
        <v>1080</v>
      </c>
      <c r="E23" s="24" t="s">
        <v>281</v>
      </c>
      <c r="F23" s="28">
        <v>50</v>
      </c>
      <c r="G23" s="28">
        <v>3</v>
      </c>
      <c r="H23" s="28">
        <v>54000</v>
      </c>
      <c r="I23" s="28">
        <v>3240</v>
      </c>
      <c r="J23" s="29">
        <v>43490</v>
      </c>
      <c r="K23" s="121" t="s">
        <v>666</v>
      </c>
    </row>
    <row r="24" spans="2:11" ht="15.6" x14ac:dyDescent="0.3">
      <c r="B24" s="119" t="s">
        <v>279</v>
      </c>
      <c r="C24" s="26" t="s">
        <v>280</v>
      </c>
      <c r="D24" s="26">
        <v>1100</v>
      </c>
      <c r="E24" s="25" t="s">
        <v>273</v>
      </c>
      <c r="F24" s="26">
        <v>16</v>
      </c>
      <c r="G24" s="26">
        <v>4</v>
      </c>
      <c r="H24" s="26">
        <v>17600</v>
      </c>
      <c r="I24" s="26">
        <v>4400</v>
      </c>
      <c r="J24" s="27">
        <v>43490</v>
      </c>
      <c r="K24" s="120" t="s">
        <v>687</v>
      </c>
    </row>
    <row r="25" spans="2:11" ht="15.6" x14ac:dyDescent="0.3">
      <c r="B25" s="117" t="s">
        <v>271</v>
      </c>
      <c r="C25" s="28" t="s">
        <v>277</v>
      </c>
      <c r="D25" s="28">
        <v>4050</v>
      </c>
      <c r="E25" s="24" t="s">
        <v>287</v>
      </c>
      <c r="F25" s="28">
        <v>16</v>
      </c>
      <c r="G25" s="28">
        <v>4</v>
      </c>
      <c r="H25" s="28">
        <v>64800</v>
      </c>
      <c r="I25" s="28">
        <v>16200</v>
      </c>
      <c r="J25" s="29">
        <v>43491</v>
      </c>
      <c r="K25" s="121" t="s">
        <v>488</v>
      </c>
    </row>
    <row r="26" spans="2:11" ht="15.6" x14ac:dyDescent="0.3">
      <c r="B26" s="119" t="s">
        <v>278</v>
      </c>
      <c r="C26" s="26" t="s">
        <v>275</v>
      </c>
      <c r="D26" s="26">
        <v>3900</v>
      </c>
      <c r="E26" s="25" t="s">
        <v>281</v>
      </c>
      <c r="F26" s="26">
        <v>27</v>
      </c>
      <c r="G26" s="26">
        <v>4</v>
      </c>
      <c r="H26" s="26">
        <v>105300</v>
      </c>
      <c r="I26" s="26">
        <v>15600</v>
      </c>
      <c r="J26" s="27">
        <v>43493</v>
      </c>
      <c r="K26" s="120" t="s">
        <v>488</v>
      </c>
    </row>
    <row r="27" spans="2:11" ht="15.6" x14ac:dyDescent="0.3">
      <c r="B27" s="117" t="s">
        <v>279</v>
      </c>
      <c r="C27" s="28" t="s">
        <v>289</v>
      </c>
      <c r="D27" s="28">
        <v>1750</v>
      </c>
      <c r="E27" s="24" t="s">
        <v>286</v>
      </c>
      <c r="F27" s="28">
        <v>45</v>
      </c>
      <c r="G27" s="28">
        <v>3</v>
      </c>
      <c r="H27" s="28">
        <v>78750</v>
      </c>
      <c r="I27" s="28">
        <v>5250</v>
      </c>
      <c r="J27" s="29">
        <v>43494</v>
      </c>
      <c r="K27" s="121" t="s">
        <v>687</v>
      </c>
    </row>
    <row r="28" spans="2:11" ht="15.6" x14ac:dyDescent="0.3">
      <c r="B28" s="119" t="s">
        <v>274</v>
      </c>
      <c r="C28" s="26" t="s">
        <v>289</v>
      </c>
      <c r="D28" s="26">
        <v>1200</v>
      </c>
      <c r="E28" s="25" t="s">
        <v>286</v>
      </c>
      <c r="F28" s="26">
        <v>10</v>
      </c>
      <c r="G28" s="26">
        <v>1</v>
      </c>
      <c r="H28" s="26">
        <v>12000</v>
      </c>
      <c r="I28" s="26">
        <v>1200</v>
      </c>
      <c r="J28" s="27">
        <v>43497</v>
      </c>
      <c r="K28" s="120" t="s">
        <v>488</v>
      </c>
    </row>
    <row r="29" spans="2:11" ht="15.6" x14ac:dyDescent="0.3">
      <c r="B29" s="117" t="s">
        <v>291</v>
      </c>
      <c r="C29" s="28" t="s">
        <v>289</v>
      </c>
      <c r="D29" s="28">
        <v>4550</v>
      </c>
      <c r="E29" s="24" t="s">
        <v>270</v>
      </c>
      <c r="F29" s="28">
        <v>22</v>
      </c>
      <c r="G29" s="28">
        <v>4</v>
      </c>
      <c r="H29" s="28">
        <v>100100</v>
      </c>
      <c r="I29" s="28">
        <v>18200</v>
      </c>
      <c r="J29" s="29">
        <v>43498</v>
      </c>
      <c r="K29" s="121" t="s">
        <v>666</v>
      </c>
    </row>
    <row r="30" spans="2:11" ht="15.6" x14ac:dyDescent="0.3">
      <c r="B30" s="119" t="s">
        <v>268</v>
      </c>
      <c r="C30" s="26" t="s">
        <v>292</v>
      </c>
      <c r="D30" s="26">
        <v>3750</v>
      </c>
      <c r="E30" s="25" t="s">
        <v>281</v>
      </c>
      <c r="F30" s="26">
        <v>39</v>
      </c>
      <c r="G30" s="26">
        <v>1</v>
      </c>
      <c r="H30" s="26">
        <v>146250</v>
      </c>
      <c r="I30" s="26">
        <v>3750</v>
      </c>
      <c r="J30" s="27">
        <v>43500</v>
      </c>
      <c r="K30" s="120" t="s">
        <v>680</v>
      </c>
    </row>
    <row r="31" spans="2:11" ht="15.6" x14ac:dyDescent="0.3">
      <c r="B31" s="117" t="s">
        <v>282</v>
      </c>
      <c r="C31" s="28" t="s">
        <v>284</v>
      </c>
      <c r="D31" s="28">
        <v>4900</v>
      </c>
      <c r="E31" s="24" t="s">
        <v>281</v>
      </c>
      <c r="F31" s="28">
        <v>48</v>
      </c>
      <c r="G31" s="28">
        <v>0</v>
      </c>
      <c r="H31" s="28">
        <v>235200</v>
      </c>
      <c r="I31" s="28">
        <v>0</v>
      </c>
      <c r="J31" s="29">
        <v>43501</v>
      </c>
      <c r="K31" s="121" t="s">
        <v>498</v>
      </c>
    </row>
    <row r="32" spans="2:11" ht="15.6" x14ac:dyDescent="0.3">
      <c r="B32" s="119" t="s">
        <v>282</v>
      </c>
      <c r="C32" s="26" t="s">
        <v>284</v>
      </c>
      <c r="D32" s="26">
        <v>5000</v>
      </c>
      <c r="E32" s="25" t="s">
        <v>286</v>
      </c>
      <c r="F32" s="26">
        <v>31</v>
      </c>
      <c r="G32" s="26">
        <v>3</v>
      </c>
      <c r="H32" s="26">
        <v>155000</v>
      </c>
      <c r="I32" s="26">
        <v>15000</v>
      </c>
      <c r="J32" s="27">
        <v>43504</v>
      </c>
      <c r="K32" s="120" t="s">
        <v>498</v>
      </c>
    </row>
    <row r="33" spans="2:11" ht="15.6" x14ac:dyDescent="0.3">
      <c r="B33" s="117" t="s">
        <v>271</v>
      </c>
      <c r="C33" s="28" t="s">
        <v>277</v>
      </c>
      <c r="D33" s="28">
        <v>4000</v>
      </c>
      <c r="E33" s="24" t="s">
        <v>276</v>
      </c>
      <c r="F33" s="28">
        <v>24</v>
      </c>
      <c r="G33" s="28">
        <v>1</v>
      </c>
      <c r="H33" s="28">
        <v>96000</v>
      </c>
      <c r="I33" s="28">
        <v>4000</v>
      </c>
      <c r="J33" s="29">
        <v>43505</v>
      </c>
      <c r="K33" s="121" t="s">
        <v>488</v>
      </c>
    </row>
    <row r="34" spans="2:11" ht="15.6" x14ac:dyDescent="0.3">
      <c r="B34" s="119" t="s">
        <v>291</v>
      </c>
      <c r="C34" s="26" t="s">
        <v>277</v>
      </c>
      <c r="D34" s="26">
        <v>10000</v>
      </c>
      <c r="E34" s="25" t="s">
        <v>281</v>
      </c>
      <c r="F34" s="26">
        <v>28</v>
      </c>
      <c r="G34" s="26">
        <v>0</v>
      </c>
      <c r="H34" s="26">
        <v>280000</v>
      </c>
      <c r="I34" s="26">
        <v>0</v>
      </c>
      <c r="J34" s="27">
        <v>43506</v>
      </c>
      <c r="K34" s="120" t="s">
        <v>666</v>
      </c>
    </row>
    <row r="35" spans="2:11" ht="15.6" x14ac:dyDescent="0.3">
      <c r="B35" s="117" t="s">
        <v>291</v>
      </c>
      <c r="C35" s="28" t="s">
        <v>289</v>
      </c>
      <c r="D35" s="28">
        <v>4550</v>
      </c>
      <c r="E35" s="24" t="s">
        <v>287</v>
      </c>
      <c r="F35" s="28">
        <v>41</v>
      </c>
      <c r="G35" s="28">
        <v>4</v>
      </c>
      <c r="H35" s="28">
        <v>186550</v>
      </c>
      <c r="I35" s="28">
        <v>18200</v>
      </c>
      <c r="J35" s="29">
        <v>43506</v>
      </c>
      <c r="K35" s="121" t="s">
        <v>666</v>
      </c>
    </row>
    <row r="36" spans="2:11" ht="15.6" x14ac:dyDescent="0.3">
      <c r="B36" s="119" t="s">
        <v>288</v>
      </c>
      <c r="C36" s="26" t="s">
        <v>277</v>
      </c>
      <c r="D36" s="26">
        <v>2850</v>
      </c>
      <c r="E36" s="25" t="s">
        <v>287</v>
      </c>
      <c r="F36" s="26">
        <v>23</v>
      </c>
      <c r="G36" s="26">
        <v>3</v>
      </c>
      <c r="H36" s="26">
        <v>65550</v>
      </c>
      <c r="I36" s="26">
        <v>8550</v>
      </c>
      <c r="J36" s="27">
        <v>43508</v>
      </c>
      <c r="K36" s="120" t="s">
        <v>666</v>
      </c>
    </row>
    <row r="37" spans="2:11" ht="15.6" x14ac:dyDescent="0.3">
      <c r="B37" s="117" t="s">
        <v>274</v>
      </c>
      <c r="C37" s="28" t="s">
        <v>283</v>
      </c>
      <c r="D37" s="28">
        <v>1600</v>
      </c>
      <c r="E37" s="24" t="s">
        <v>286</v>
      </c>
      <c r="F37" s="28">
        <v>35</v>
      </c>
      <c r="G37" s="28">
        <v>1</v>
      </c>
      <c r="H37" s="28">
        <v>56000</v>
      </c>
      <c r="I37" s="28">
        <v>1600</v>
      </c>
      <c r="J37" s="29">
        <v>43510</v>
      </c>
      <c r="K37" s="121" t="s">
        <v>488</v>
      </c>
    </row>
    <row r="38" spans="2:11" ht="15.6" x14ac:dyDescent="0.3">
      <c r="B38" s="119" t="s">
        <v>279</v>
      </c>
      <c r="C38" s="26" t="s">
        <v>275</v>
      </c>
      <c r="D38" s="26">
        <v>900</v>
      </c>
      <c r="E38" s="25" t="s">
        <v>270</v>
      </c>
      <c r="F38" s="26">
        <v>28</v>
      </c>
      <c r="G38" s="26">
        <v>4</v>
      </c>
      <c r="H38" s="26">
        <v>25200</v>
      </c>
      <c r="I38" s="26">
        <v>3600</v>
      </c>
      <c r="J38" s="27">
        <v>43511</v>
      </c>
      <c r="K38" s="120" t="s">
        <v>687</v>
      </c>
    </row>
    <row r="39" spans="2:11" ht="15.6" x14ac:dyDescent="0.3">
      <c r="B39" s="117" t="s">
        <v>291</v>
      </c>
      <c r="C39" s="28" t="s">
        <v>277</v>
      </c>
      <c r="D39" s="28">
        <v>10250</v>
      </c>
      <c r="E39" s="24" t="s">
        <v>273</v>
      </c>
      <c r="F39" s="28">
        <v>16</v>
      </c>
      <c r="G39" s="28">
        <v>4</v>
      </c>
      <c r="H39" s="28">
        <v>164000</v>
      </c>
      <c r="I39" s="28">
        <v>41000</v>
      </c>
      <c r="J39" s="29">
        <v>43515</v>
      </c>
      <c r="K39" s="121" t="s">
        <v>666</v>
      </c>
    </row>
    <row r="40" spans="2:11" ht="15.6" x14ac:dyDescent="0.3">
      <c r="B40" s="119" t="s">
        <v>278</v>
      </c>
      <c r="C40" s="26" t="s">
        <v>275</v>
      </c>
      <c r="D40" s="26">
        <v>3900</v>
      </c>
      <c r="E40" s="25" t="s">
        <v>287</v>
      </c>
      <c r="F40" s="26">
        <v>38</v>
      </c>
      <c r="G40" s="26">
        <v>4</v>
      </c>
      <c r="H40" s="26">
        <v>148200</v>
      </c>
      <c r="I40" s="26">
        <v>15600</v>
      </c>
      <c r="J40" s="27">
        <v>43515</v>
      </c>
      <c r="K40" s="120" t="s">
        <v>488</v>
      </c>
    </row>
    <row r="41" spans="2:11" ht="15.6" x14ac:dyDescent="0.3">
      <c r="B41" s="117" t="s">
        <v>271</v>
      </c>
      <c r="C41" s="28" t="s">
        <v>277</v>
      </c>
      <c r="D41" s="28">
        <v>4050</v>
      </c>
      <c r="E41" s="24" t="s">
        <v>286</v>
      </c>
      <c r="F41" s="28">
        <v>19</v>
      </c>
      <c r="G41" s="28">
        <v>2</v>
      </c>
      <c r="H41" s="28">
        <v>76950</v>
      </c>
      <c r="I41" s="28">
        <v>8100</v>
      </c>
      <c r="J41" s="29">
        <v>43516</v>
      </c>
      <c r="K41" s="121" t="s">
        <v>488</v>
      </c>
    </row>
    <row r="42" spans="2:11" ht="15.6" x14ac:dyDescent="0.3">
      <c r="B42" s="119" t="s">
        <v>291</v>
      </c>
      <c r="C42" s="26" t="s">
        <v>280</v>
      </c>
      <c r="D42" s="26">
        <v>5400</v>
      </c>
      <c r="E42" s="25" t="s">
        <v>276</v>
      </c>
      <c r="F42" s="26">
        <v>35</v>
      </c>
      <c r="G42" s="26">
        <v>1</v>
      </c>
      <c r="H42" s="26">
        <v>189000</v>
      </c>
      <c r="I42" s="26">
        <v>5400</v>
      </c>
      <c r="J42" s="27">
        <v>43517</v>
      </c>
      <c r="K42" s="120" t="s">
        <v>666</v>
      </c>
    </row>
    <row r="43" spans="2:11" ht="15.6" x14ac:dyDescent="0.3">
      <c r="B43" s="117" t="s">
        <v>274</v>
      </c>
      <c r="C43" s="28" t="s">
        <v>285</v>
      </c>
      <c r="D43" s="28">
        <v>1960</v>
      </c>
      <c r="E43" s="24" t="s">
        <v>270</v>
      </c>
      <c r="F43" s="28">
        <v>20</v>
      </c>
      <c r="G43" s="28">
        <v>3</v>
      </c>
      <c r="H43" s="28">
        <v>39200</v>
      </c>
      <c r="I43" s="28">
        <v>5880</v>
      </c>
      <c r="J43" s="29">
        <v>43517</v>
      </c>
      <c r="K43" s="121" t="s">
        <v>488</v>
      </c>
    </row>
    <row r="44" spans="2:11" ht="15.6" x14ac:dyDescent="0.3">
      <c r="B44" s="119" t="s">
        <v>279</v>
      </c>
      <c r="C44" s="26" t="s">
        <v>284</v>
      </c>
      <c r="D44" s="26">
        <v>2000</v>
      </c>
      <c r="E44" s="25" t="s">
        <v>276</v>
      </c>
      <c r="F44" s="26">
        <v>14</v>
      </c>
      <c r="G44" s="26">
        <v>0</v>
      </c>
      <c r="H44" s="26">
        <v>28000</v>
      </c>
      <c r="I44" s="26">
        <v>0</v>
      </c>
      <c r="J44" s="27">
        <v>43518</v>
      </c>
      <c r="K44" s="120" t="s">
        <v>687</v>
      </c>
    </row>
    <row r="45" spans="2:11" ht="15.6" x14ac:dyDescent="0.3">
      <c r="B45" s="117" t="s">
        <v>293</v>
      </c>
      <c r="C45" s="28" t="s">
        <v>280</v>
      </c>
      <c r="D45" s="28">
        <v>1500</v>
      </c>
      <c r="E45" s="24" t="s">
        <v>281</v>
      </c>
      <c r="F45" s="28">
        <v>25</v>
      </c>
      <c r="G45" s="28">
        <v>1</v>
      </c>
      <c r="H45" s="28">
        <v>37500</v>
      </c>
      <c r="I45" s="28">
        <v>1500</v>
      </c>
      <c r="J45" s="29">
        <v>43518</v>
      </c>
      <c r="K45" s="121" t="s">
        <v>687</v>
      </c>
    </row>
    <row r="46" spans="2:11" ht="15.6" x14ac:dyDescent="0.3">
      <c r="B46" s="119" t="s">
        <v>282</v>
      </c>
      <c r="C46" s="26" t="s">
        <v>275</v>
      </c>
      <c r="D46" s="26">
        <v>1350</v>
      </c>
      <c r="E46" s="25" t="s">
        <v>287</v>
      </c>
      <c r="F46" s="26">
        <v>20</v>
      </c>
      <c r="G46" s="26">
        <v>3</v>
      </c>
      <c r="H46" s="26">
        <v>27000</v>
      </c>
      <c r="I46" s="26">
        <v>4050</v>
      </c>
      <c r="J46" s="27">
        <v>43519</v>
      </c>
      <c r="K46" s="120" t="s">
        <v>498</v>
      </c>
    </row>
    <row r="47" spans="2:11" ht="15.6" x14ac:dyDescent="0.3">
      <c r="B47" s="117" t="s">
        <v>293</v>
      </c>
      <c r="C47" s="28" t="s">
        <v>289</v>
      </c>
      <c r="D47" s="28">
        <v>2000</v>
      </c>
      <c r="E47" s="24" t="s">
        <v>273</v>
      </c>
      <c r="F47" s="28">
        <v>24</v>
      </c>
      <c r="G47" s="28">
        <v>3</v>
      </c>
      <c r="H47" s="28">
        <v>48000</v>
      </c>
      <c r="I47" s="28">
        <v>6000</v>
      </c>
      <c r="J47" s="29">
        <v>43519</v>
      </c>
      <c r="K47" s="121" t="s">
        <v>497</v>
      </c>
    </row>
    <row r="48" spans="2:11" ht="15.6" x14ac:dyDescent="0.3">
      <c r="B48" s="119" t="s">
        <v>293</v>
      </c>
      <c r="C48" s="26" t="s">
        <v>280</v>
      </c>
      <c r="D48" s="26">
        <v>1650</v>
      </c>
      <c r="E48" s="25" t="s">
        <v>270</v>
      </c>
      <c r="F48" s="26">
        <v>30</v>
      </c>
      <c r="G48" s="26">
        <v>1</v>
      </c>
      <c r="H48" s="26">
        <v>49500</v>
      </c>
      <c r="I48" s="26">
        <v>1650</v>
      </c>
      <c r="J48" s="27">
        <v>43520</v>
      </c>
      <c r="K48" s="120" t="s">
        <v>497</v>
      </c>
    </row>
    <row r="49" spans="2:11" ht="15.6" x14ac:dyDescent="0.3">
      <c r="B49" s="117" t="s">
        <v>293</v>
      </c>
      <c r="C49" s="28" t="s">
        <v>280</v>
      </c>
      <c r="D49" s="28">
        <v>1700</v>
      </c>
      <c r="E49" s="24" t="s">
        <v>286</v>
      </c>
      <c r="F49" s="28">
        <v>42</v>
      </c>
      <c r="G49" s="28">
        <v>1</v>
      </c>
      <c r="H49" s="28">
        <v>71400</v>
      </c>
      <c r="I49" s="28">
        <v>1700</v>
      </c>
      <c r="J49" s="29">
        <v>43521</v>
      </c>
      <c r="K49" s="121" t="s">
        <v>497</v>
      </c>
    </row>
    <row r="50" spans="2:11" ht="15.6" x14ac:dyDescent="0.3">
      <c r="B50" s="119" t="s">
        <v>274</v>
      </c>
      <c r="C50" s="26" t="s">
        <v>277</v>
      </c>
      <c r="D50" s="26">
        <v>2500</v>
      </c>
      <c r="E50" s="25" t="s">
        <v>270</v>
      </c>
      <c r="F50" s="26">
        <v>15</v>
      </c>
      <c r="G50" s="26">
        <v>3</v>
      </c>
      <c r="H50" s="26">
        <v>37500</v>
      </c>
      <c r="I50" s="26">
        <v>7500</v>
      </c>
      <c r="J50" s="27">
        <v>43522</v>
      </c>
      <c r="K50" s="120" t="s">
        <v>488</v>
      </c>
    </row>
    <row r="51" spans="2:11" ht="15.6" x14ac:dyDescent="0.3">
      <c r="B51" s="117" t="s">
        <v>274</v>
      </c>
      <c r="C51" s="28" t="s">
        <v>277</v>
      </c>
      <c r="D51" s="28">
        <v>2500</v>
      </c>
      <c r="E51" s="24" t="s">
        <v>287</v>
      </c>
      <c r="F51" s="28">
        <v>44</v>
      </c>
      <c r="G51" s="28">
        <v>0</v>
      </c>
      <c r="H51" s="28">
        <v>110000</v>
      </c>
      <c r="I51" s="28">
        <v>0</v>
      </c>
      <c r="J51" s="29">
        <v>43523</v>
      </c>
      <c r="K51" s="121" t="s">
        <v>488</v>
      </c>
    </row>
    <row r="52" spans="2:11" ht="15.6" x14ac:dyDescent="0.3">
      <c r="B52" s="119" t="s">
        <v>293</v>
      </c>
      <c r="C52" s="26" t="s">
        <v>285</v>
      </c>
      <c r="D52" s="26">
        <v>1750</v>
      </c>
      <c r="E52" s="25" t="s">
        <v>281</v>
      </c>
      <c r="F52" s="26">
        <v>38</v>
      </c>
      <c r="G52" s="26">
        <v>0</v>
      </c>
      <c r="H52" s="26">
        <v>66500</v>
      </c>
      <c r="I52" s="26">
        <v>0</v>
      </c>
      <c r="J52" s="27">
        <v>43524</v>
      </c>
      <c r="K52" s="120" t="s">
        <v>497</v>
      </c>
    </row>
    <row r="53" spans="2:11" ht="15.6" x14ac:dyDescent="0.3">
      <c r="B53" s="117" t="s">
        <v>282</v>
      </c>
      <c r="C53" s="28" t="s">
        <v>280</v>
      </c>
      <c r="D53" s="28">
        <v>2570</v>
      </c>
      <c r="E53" s="24" t="s">
        <v>287</v>
      </c>
      <c r="F53" s="28">
        <v>31</v>
      </c>
      <c r="G53" s="28">
        <v>3</v>
      </c>
      <c r="H53" s="28">
        <v>79670</v>
      </c>
      <c r="I53" s="28">
        <v>7710</v>
      </c>
      <c r="J53" s="29">
        <v>43525</v>
      </c>
      <c r="K53" s="121" t="s">
        <v>498</v>
      </c>
    </row>
    <row r="54" spans="2:11" ht="15.6" x14ac:dyDescent="0.3">
      <c r="B54" s="119" t="s">
        <v>274</v>
      </c>
      <c r="C54" s="26" t="s">
        <v>280</v>
      </c>
      <c r="D54" s="26">
        <v>1650</v>
      </c>
      <c r="E54" s="25" t="s">
        <v>287</v>
      </c>
      <c r="F54" s="26">
        <v>28</v>
      </c>
      <c r="G54" s="26">
        <v>0</v>
      </c>
      <c r="H54" s="26">
        <v>46200</v>
      </c>
      <c r="I54" s="26">
        <v>0</v>
      </c>
      <c r="J54" s="27">
        <v>43526</v>
      </c>
      <c r="K54" s="120" t="s">
        <v>488</v>
      </c>
    </row>
    <row r="55" spans="2:11" ht="15.6" x14ac:dyDescent="0.3">
      <c r="B55" s="117" t="s">
        <v>294</v>
      </c>
      <c r="C55" s="28" t="s">
        <v>275</v>
      </c>
      <c r="D55" s="28">
        <v>1850</v>
      </c>
      <c r="E55" s="24" t="s">
        <v>286</v>
      </c>
      <c r="F55" s="28">
        <v>12</v>
      </c>
      <c r="G55" s="28">
        <v>1</v>
      </c>
      <c r="H55" s="28">
        <v>22200</v>
      </c>
      <c r="I55" s="28">
        <v>1850</v>
      </c>
      <c r="J55" s="29">
        <v>43527</v>
      </c>
      <c r="K55" s="121" t="s">
        <v>666</v>
      </c>
    </row>
    <row r="56" spans="2:11" ht="15.6" x14ac:dyDescent="0.3">
      <c r="B56" s="119" t="s">
        <v>274</v>
      </c>
      <c r="C56" s="26" t="s">
        <v>277</v>
      </c>
      <c r="D56" s="26">
        <v>2500</v>
      </c>
      <c r="E56" s="25" t="s">
        <v>286</v>
      </c>
      <c r="F56" s="26">
        <v>11</v>
      </c>
      <c r="G56" s="26">
        <v>0</v>
      </c>
      <c r="H56" s="26">
        <v>27500</v>
      </c>
      <c r="I56" s="26">
        <v>0</v>
      </c>
      <c r="J56" s="27">
        <v>43527</v>
      </c>
      <c r="K56" s="120" t="s">
        <v>488</v>
      </c>
    </row>
    <row r="57" spans="2:11" ht="15.6" x14ac:dyDescent="0.3">
      <c r="B57" s="117" t="s">
        <v>271</v>
      </c>
      <c r="C57" s="28" t="s">
        <v>277</v>
      </c>
      <c r="D57" s="28">
        <v>4050</v>
      </c>
      <c r="E57" s="24" t="s">
        <v>273</v>
      </c>
      <c r="F57" s="28">
        <v>47</v>
      </c>
      <c r="G57" s="28">
        <v>3</v>
      </c>
      <c r="H57" s="28">
        <v>190350</v>
      </c>
      <c r="I57" s="28">
        <v>12150</v>
      </c>
      <c r="J57" s="29">
        <v>43527</v>
      </c>
      <c r="K57" s="121" t="s">
        <v>488</v>
      </c>
    </row>
    <row r="58" spans="2:11" ht="15.6" x14ac:dyDescent="0.3">
      <c r="B58" s="119" t="s">
        <v>290</v>
      </c>
      <c r="C58" s="26" t="s">
        <v>275</v>
      </c>
      <c r="D58" s="26">
        <v>1200</v>
      </c>
      <c r="E58" s="25" t="s">
        <v>276</v>
      </c>
      <c r="F58" s="26">
        <v>43</v>
      </c>
      <c r="G58" s="26">
        <v>0</v>
      </c>
      <c r="H58" s="26">
        <v>51600</v>
      </c>
      <c r="I58" s="26">
        <v>0</v>
      </c>
      <c r="J58" s="27">
        <v>43529</v>
      </c>
      <c r="K58" s="120" t="s">
        <v>666</v>
      </c>
    </row>
    <row r="59" spans="2:11" ht="15.6" x14ac:dyDescent="0.3">
      <c r="B59" s="117" t="s">
        <v>274</v>
      </c>
      <c r="C59" s="28" t="s">
        <v>285</v>
      </c>
      <c r="D59" s="28">
        <v>2000</v>
      </c>
      <c r="E59" s="24" t="s">
        <v>273</v>
      </c>
      <c r="F59" s="28">
        <v>16</v>
      </c>
      <c r="G59" s="28">
        <v>0</v>
      </c>
      <c r="H59" s="28">
        <v>32000</v>
      </c>
      <c r="I59" s="28">
        <v>0</v>
      </c>
      <c r="J59" s="29">
        <v>43529</v>
      </c>
      <c r="K59" s="121" t="s">
        <v>488</v>
      </c>
    </row>
    <row r="60" spans="2:11" ht="15.6" x14ac:dyDescent="0.3">
      <c r="B60" s="119" t="s">
        <v>278</v>
      </c>
      <c r="C60" s="26" t="s">
        <v>289</v>
      </c>
      <c r="D60" s="26">
        <v>2620</v>
      </c>
      <c r="E60" s="25" t="s">
        <v>273</v>
      </c>
      <c r="F60" s="26">
        <v>25</v>
      </c>
      <c r="G60" s="26">
        <v>0</v>
      </c>
      <c r="H60" s="26">
        <v>65500</v>
      </c>
      <c r="I60" s="26">
        <v>0</v>
      </c>
      <c r="J60" s="27">
        <v>43529</v>
      </c>
      <c r="K60" s="120" t="s">
        <v>488</v>
      </c>
    </row>
    <row r="61" spans="2:11" ht="15.6" x14ac:dyDescent="0.3">
      <c r="B61" s="117" t="s">
        <v>290</v>
      </c>
      <c r="C61" s="28" t="s">
        <v>284</v>
      </c>
      <c r="D61" s="28">
        <v>1100</v>
      </c>
      <c r="E61" s="24" t="s">
        <v>273</v>
      </c>
      <c r="F61" s="28">
        <v>50</v>
      </c>
      <c r="G61" s="28">
        <v>3</v>
      </c>
      <c r="H61" s="28">
        <v>55000</v>
      </c>
      <c r="I61" s="28">
        <v>3300</v>
      </c>
      <c r="J61" s="29">
        <v>43531</v>
      </c>
      <c r="K61" s="121" t="s">
        <v>666</v>
      </c>
    </row>
    <row r="62" spans="2:11" ht="15.6" x14ac:dyDescent="0.3">
      <c r="B62" s="119" t="s">
        <v>282</v>
      </c>
      <c r="C62" s="26" t="s">
        <v>289</v>
      </c>
      <c r="D62" s="26">
        <v>3200</v>
      </c>
      <c r="E62" s="25" t="s">
        <v>276</v>
      </c>
      <c r="F62" s="26">
        <v>32</v>
      </c>
      <c r="G62" s="26">
        <v>0</v>
      </c>
      <c r="H62" s="26">
        <v>102400</v>
      </c>
      <c r="I62" s="26">
        <v>0</v>
      </c>
      <c r="J62" s="27">
        <v>43531</v>
      </c>
      <c r="K62" s="120" t="s">
        <v>498</v>
      </c>
    </row>
    <row r="63" spans="2:11" ht="15.6" x14ac:dyDescent="0.3">
      <c r="B63" s="117" t="s">
        <v>271</v>
      </c>
      <c r="C63" s="28" t="s">
        <v>283</v>
      </c>
      <c r="D63" s="28">
        <v>4550</v>
      </c>
      <c r="E63" s="24" t="s">
        <v>286</v>
      </c>
      <c r="F63" s="28">
        <v>27</v>
      </c>
      <c r="G63" s="28">
        <v>0</v>
      </c>
      <c r="H63" s="28">
        <v>122850</v>
      </c>
      <c r="I63" s="28">
        <v>0</v>
      </c>
      <c r="J63" s="29">
        <v>43532</v>
      </c>
      <c r="K63" s="121" t="s">
        <v>488</v>
      </c>
    </row>
    <row r="64" spans="2:11" ht="15.6" x14ac:dyDescent="0.3">
      <c r="B64" s="119" t="s">
        <v>278</v>
      </c>
      <c r="C64" s="26" t="s">
        <v>289</v>
      </c>
      <c r="D64" s="26">
        <v>2600</v>
      </c>
      <c r="E64" s="25" t="s">
        <v>276</v>
      </c>
      <c r="F64" s="26">
        <v>10</v>
      </c>
      <c r="G64" s="26">
        <v>4</v>
      </c>
      <c r="H64" s="26">
        <v>26000</v>
      </c>
      <c r="I64" s="26">
        <v>10400</v>
      </c>
      <c r="J64" s="27">
        <v>43532</v>
      </c>
      <c r="K64" s="120" t="s">
        <v>488</v>
      </c>
    </row>
    <row r="65" spans="2:11" ht="15.6" x14ac:dyDescent="0.3">
      <c r="B65" s="117" t="s">
        <v>293</v>
      </c>
      <c r="C65" s="28" t="s">
        <v>283</v>
      </c>
      <c r="D65" s="28">
        <v>1350</v>
      </c>
      <c r="E65" s="24" t="s">
        <v>276</v>
      </c>
      <c r="F65" s="28">
        <v>36</v>
      </c>
      <c r="G65" s="28">
        <v>0</v>
      </c>
      <c r="H65" s="28">
        <v>48600</v>
      </c>
      <c r="I65" s="28">
        <v>0</v>
      </c>
      <c r="J65" s="29">
        <v>43532</v>
      </c>
      <c r="K65" s="121" t="s">
        <v>497</v>
      </c>
    </row>
    <row r="66" spans="2:11" ht="15.6" x14ac:dyDescent="0.3">
      <c r="B66" s="119" t="s">
        <v>290</v>
      </c>
      <c r="C66" s="26" t="s">
        <v>284</v>
      </c>
      <c r="D66" s="26">
        <v>1080</v>
      </c>
      <c r="E66" s="25" t="s">
        <v>287</v>
      </c>
      <c r="F66" s="26">
        <v>18</v>
      </c>
      <c r="G66" s="26">
        <v>1</v>
      </c>
      <c r="H66" s="26">
        <v>19440</v>
      </c>
      <c r="I66" s="26">
        <v>1080</v>
      </c>
      <c r="J66" s="27">
        <v>43534</v>
      </c>
      <c r="K66" s="120" t="s">
        <v>666</v>
      </c>
    </row>
    <row r="67" spans="2:11" ht="15.6" x14ac:dyDescent="0.3">
      <c r="B67" s="117" t="s">
        <v>293</v>
      </c>
      <c r="C67" s="28" t="s">
        <v>275</v>
      </c>
      <c r="D67" s="28">
        <v>1350</v>
      </c>
      <c r="E67" s="24" t="s">
        <v>270</v>
      </c>
      <c r="F67" s="28">
        <v>32</v>
      </c>
      <c r="G67" s="28">
        <v>0</v>
      </c>
      <c r="H67" s="28">
        <v>43200</v>
      </c>
      <c r="I67" s="28">
        <v>0</v>
      </c>
      <c r="J67" s="29">
        <v>43535</v>
      </c>
      <c r="K67" s="121" t="s">
        <v>497</v>
      </c>
    </row>
    <row r="68" spans="2:11" ht="15.6" x14ac:dyDescent="0.3">
      <c r="B68" s="119" t="s">
        <v>274</v>
      </c>
      <c r="C68" s="26" t="s">
        <v>280</v>
      </c>
      <c r="D68" s="26">
        <v>1650</v>
      </c>
      <c r="E68" s="25" t="s">
        <v>273</v>
      </c>
      <c r="F68" s="26">
        <v>16</v>
      </c>
      <c r="G68" s="26">
        <v>3</v>
      </c>
      <c r="H68" s="26">
        <v>26400</v>
      </c>
      <c r="I68" s="26">
        <v>4950</v>
      </c>
      <c r="J68" s="27">
        <v>43536</v>
      </c>
      <c r="K68" s="120" t="s">
        <v>488</v>
      </c>
    </row>
    <row r="69" spans="2:11" ht="15.6" x14ac:dyDescent="0.3">
      <c r="B69" s="117" t="s">
        <v>291</v>
      </c>
      <c r="C69" s="28" t="s">
        <v>280</v>
      </c>
      <c r="D69" s="28">
        <v>5490</v>
      </c>
      <c r="E69" s="24" t="s">
        <v>281</v>
      </c>
      <c r="F69" s="28">
        <v>41</v>
      </c>
      <c r="G69" s="28">
        <v>1</v>
      </c>
      <c r="H69" s="28">
        <v>225090</v>
      </c>
      <c r="I69" s="28">
        <v>5490</v>
      </c>
      <c r="J69" s="29">
        <v>43537</v>
      </c>
      <c r="K69" s="121" t="s">
        <v>666</v>
      </c>
    </row>
    <row r="70" spans="2:11" ht="15.6" x14ac:dyDescent="0.3">
      <c r="B70" s="119" t="s">
        <v>274</v>
      </c>
      <c r="C70" s="26" t="s">
        <v>283</v>
      </c>
      <c r="D70" s="26">
        <v>1560</v>
      </c>
      <c r="E70" s="25" t="s">
        <v>287</v>
      </c>
      <c r="F70" s="26">
        <v>18</v>
      </c>
      <c r="G70" s="26">
        <v>1</v>
      </c>
      <c r="H70" s="26">
        <v>28080</v>
      </c>
      <c r="I70" s="26">
        <v>1560</v>
      </c>
      <c r="J70" s="27">
        <v>43539</v>
      </c>
      <c r="K70" s="120" t="s">
        <v>488</v>
      </c>
    </row>
    <row r="71" spans="2:11" ht="15.6" x14ac:dyDescent="0.3">
      <c r="B71" s="117" t="s">
        <v>293</v>
      </c>
      <c r="C71" s="28" t="s">
        <v>283</v>
      </c>
      <c r="D71" s="28">
        <v>1300</v>
      </c>
      <c r="E71" s="24" t="s">
        <v>287</v>
      </c>
      <c r="F71" s="28">
        <v>35</v>
      </c>
      <c r="G71" s="28">
        <v>1</v>
      </c>
      <c r="H71" s="28">
        <v>45500</v>
      </c>
      <c r="I71" s="28">
        <v>1300</v>
      </c>
      <c r="J71" s="29">
        <v>43539</v>
      </c>
      <c r="K71" s="121" t="s">
        <v>497</v>
      </c>
    </row>
    <row r="72" spans="2:11" ht="15.6" x14ac:dyDescent="0.3">
      <c r="B72" s="119" t="s">
        <v>290</v>
      </c>
      <c r="C72" s="26" t="s">
        <v>280</v>
      </c>
      <c r="D72" s="26">
        <v>800</v>
      </c>
      <c r="E72" s="25" t="s">
        <v>270</v>
      </c>
      <c r="F72" s="26">
        <v>17</v>
      </c>
      <c r="G72" s="26">
        <v>1</v>
      </c>
      <c r="H72" s="26">
        <v>13600</v>
      </c>
      <c r="I72" s="26">
        <v>800</v>
      </c>
      <c r="J72" s="27">
        <v>43540</v>
      </c>
      <c r="K72" s="120" t="s">
        <v>666</v>
      </c>
    </row>
    <row r="73" spans="2:11" ht="15.6" x14ac:dyDescent="0.3">
      <c r="B73" s="117" t="s">
        <v>278</v>
      </c>
      <c r="C73" s="28" t="s">
        <v>277</v>
      </c>
      <c r="D73" s="28">
        <v>2500</v>
      </c>
      <c r="E73" s="24" t="s">
        <v>276</v>
      </c>
      <c r="F73" s="28">
        <v>48</v>
      </c>
      <c r="G73" s="28">
        <v>2</v>
      </c>
      <c r="H73" s="28">
        <v>120000</v>
      </c>
      <c r="I73" s="28">
        <v>5000</v>
      </c>
      <c r="J73" s="29">
        <v>43540</v>
      </c>
      <c r="K73" s="121" t="s">
        <v>488</v>
      </c>
    </row>
    <row r="74" spans="2:11" ht="15.6" x14ac:dyDescent="0.3">
      <c r="B74" s="119" t="s">
        <v>290</v>
      </c>
      <c r="C74" s="26" t="s">
        <v>285</v>
      </c>
      <c r="D74" s="26">
        <v>1240</v>
      </c>
      <c r="E74" s="25" t="s">
        <v>286</v>
      </c>
      <c r="F74" s="26">
        <v>27</v>
      </c>
      <c r="G74" s="26">
        <v>0</v>
      </c>
      <c r="H74" s="26">
        <v>33480</v>
      </c>
      <c r="I74" s="26">
        <v>0</v>
      </c>
      <c r="J74" s="27">
        <v>43542</v>
      </c>
      <c r="K74" s="120" t="s">
        <v>666</v>
      </c>
    </row>
    <row r="75" spans="2:11" ht="15.6" x14ac:dyDescent="0.3">
      <c r="B75" s="117" t="s">
        <v>282</v>
      </c>
      <c r="C75" s="28" t="s">
        <v>275</v>
      </c>
      <c r="D75" s="28">
        <v>3180</v>
      </c>
      <c r="E75" s="24" t="s">
        <v>287</v>
      </c>
      <c r="F75" s="28">
        <v>39</v>
      </c>
      <c r="G75" s="28">
        <v>1</v>
      </c>
      <c r="H75" s="28">
        <v>124020</v>
      </c>
      <c r="I75" s="28">
        <v>3180</v>
      </c>
      <c r="J75" s="29">
        <v>43542</v>
      </c>
      <c r="K75" s="121" t="s">
        <v>498</v>
      </c>
    </row>
    <row r="76" spans="2:11" ht="15.6" x14ac:dyDescent="0.3">
      <c r="B76" s="119" t="s">
        <v>274</v>
      </c>
      <c r="C76" s="26" t="s">
        <v>275</v>
      </c>
      <c r="D76" s="26">
        <v>900</v>
      </c>
      <c r="E76" s="25" t="s">
        <v>273</v>
      </c>
      <c r="F76" s="26">
        <v>40</v>
      </c>
      <c r="G76" s="26">
        <v>4</v>
      </c>
      <c r="H76" s="26">
        <v>36000</v>
      </c>
      <c r="I76" s="26">
        <v>3600</v>
      </c>
      <c r="J76" s="27">
        <v>43544</v>
      </c>
      <c r="K76" s="120" t="s">
        <v>488</v>
      </c>
    </row>
    <row r="77" spans="2:11" ht="15.6" x14ac:dyDescent="0.3">
      <c r="B77" s="117" t="s">
        <v>274</v>
      </c>
      <c r="C77" s="28" t="s">
        <v>280</v>
      </c>
      <c r="D77" s="28">
        <v>1700</v>
      </c>
      <c r="E77" s="24" t="s">
        <v>276</v>
      </c>
      <c r="F77" s="28">
        <v>40</v>
      </c>
      <c r="G77" s="28">
        <v>2</v>
      </c>
      <c r="H77" s="28">
        <v>68000</v>
      </c>
      <c r="I77" s="28">
        <v>3400</v>
      </c>
      <c r="J77" s="29">
        <v>43548</v>
      </c>
      <c r="K77" s="121" t="s">
        <v>488</v>
      </c>
    </row>
    <row r="78" spans="2:11" ht="15.6" x14ac:dyDescent="0.3">
      <c r="B78" s="119" t="s">
        <v>274</v>
      </c>
      <c r="C78" s="26" t="s">
        <v>275</v>
      </c>
      <c r="D78" s="26">
        <v>880</v>
      </c>
      <c r="E78" s="25" t="s">
        <v>281</v>
      </c>
      <c r="F78" s="26">
        <v>29</v>
      </c>
      <c r="G78" s="26">
        <v>2</v>
      </c>
      <c r="H78" s="26">
        <v>25520</v>
      </c>
      <c r="I78" s="26">
        <v>1760</v>
      </c>
      <c r="J78" s="27">
        <v>43548</v>
      </c>
      <c r="K78" s="120" t="s">
        <v>488</v>
      </c>
    </row>
    <row r="79" spans="2:11" ht="15.6" x14ac:dyDescent="0.3">
      <c r="B79" s="117" t="s">
        <v>293</v>
      </c>
      <c r="C79" s="28" t="s">
        <v>285</v>
      </c>
      <c r="D79" s="28">
        <v>1800</v>
      </c>
      <c r="E79" s="24" t="s">
        <v>286</v>
      </c>
      <c r="F79" s="28">
        <v>48</v>
      </c>
      <c r="G79" s="28">
        <v>4</v>
      </c>
      <c r="H79" s="28">
        <v>86400</v>
      </c>
      <c r="I79" s="28">
        <v>7200</v>
      </c>
      <c r="J79" s="29">
        <v>43548</v>
      </c>
      <c r="K79" s="121" t="s">
        <v>497</v>
      </c>
    </row>
    <row r="80" spans="2:11" ht="15.6" x14ac:dyDescent="0.3">
      <c r="B80" s="119" t="s">
        <v>278</v>
      </c>
      <c r="C80" s="26" t="s">
        <v>277</v>
      </c>
      <c r="D80" s="26">
        <v>2560</v>
      </c>
      <c r="E80" s="25" t="s">
        <v>270</v>
      </c>
      <c r="F80" s="26">
        <v>15</v>
      </c>
      <c r="G80" s="26">
        <v>0</v>
      </c>
      <c r="H80" s="26">
        <v>38400</v>
      </c>
      <c r="I80" s="26">
        <v>0</v>
      </c>
      <c r="J80" s="27">
        <v>43549</v>
      </c>
      <c r="K80" s="120" t="s">
        <v>488</v>
      </c>
    </row>
    <row r="81" spans="2:11" ht="15.6" x14ac:dyDescent="0.3">
      <c r="B81" s="117" t="s">
        <v>279</v>
      </c>
      <c r="C81" s="28" t="s">
        <v>289</v>
      </c>
      <c r="D81" s="28">
        <v>1750</v>
      </c>
      <c r="E81" s="24" t="s">
        <v>287</v>
      </c>
      <c r="F81" s="28">
        <v>32</v>
      </c>
      <c r="G81" s="28">
        <v>2</v>
      </c>
      <c r="H81" s="28">
        <v>56000</v>
      </c>
      <c r="I81" s="28">
        <v>3500</v>
      </c>
      <c r="J81" s="29">
        <v>43550</v>
      </c>
      <c r="K81" s="121" t="s">
        <v>687</v>
      </c>
    </row>
    <row r="82" spans="2:11" ht="15.6" x14ac:dyDescent="0.3">
      <c r="B82" s="119" t="s">
        <v>293</v>
      </c>
      <c r="C82" s="26" t="s">
        <v>289</v>
      </c>
      <c r="D82" s="26">
        <v>2000</v>
      </c>
      <c r="E82" s="25" t="s">
        <v>287</v>
      </c>
      <c r="F82" s="26">
        <v>44</v>
      </c>
      <c r="G82" s="26">
        <v>4</v>
      </c>
      <c r="H82" s="26">
        <v>88000</v>
      </c>
      <c r="I82" s="26">
        <v>8000</v>
      </c>
      <c r="J82" s="27">
        <v>43552</v>
      </c>
      <c r="K82" s="120" t="s">
        <v>497</v>
      </c>
    </row>
    <row r="83" spans="2:11" ht="15.6" x14ac:dyDescent="0.3">
      <c r="B83" s="117" t="s">
        <v>290</v>
      </c>
      <c r="C83" s="28" t="s">
        <v>280</v>
      </c>
      <c r="D83" s="28">
        <v>900</v>
      </c>
      <c r="E83" s="24" t="s">
        <v>276</v>
      </c>
      <c r="F83" s="28">
        <v>38</v>
      </c>
      <c r="G83" s="28">
        <v>0</v>
      </c>
      <c r="H83" s="28">
        <v>34200</v>
      </c>
      <c r="I83" s="28">
        <v>0</v>
      </c>
      <c r="J83" s="29">
        <v>43553</v>
      </c>
      <c r="K83" s="121" t="s">
        <v>666</v>
      </c>
    </row>
    <row r="84" spans="2:11" ht="15.6" x14ac:dyDescent="0.3">
      <c r="B84" s="119" t="s">
        <v>268</v>
      </c>
      <c r="C84" s="26" t="s">
        <v>272</v>
      </c>
      <c r="D84" s="26">
        <v>4700</v>
      </c>
      <c r="E84" s="25" t="s">
        <v>281</v>
      </c>
      <c r="F84" s="26">
        <v>31</v>
      </c>
      <c r="G84" s="26">
        <v>2</v>
      </c>
      <c r="H84" s="26">
        <v>145700</v>
      </c>
      <c r="I84" s="26">
        <v>9400</v>
      </c>
      <c r="J84" s="27">
        <v>43553</v>
      </c>
      <c r="K84" s="120" t="s">
        <v>680</v>
      </c>
    </row>
    <row r="85" spans="2:11" ht="15.6" x14ac:dyDescent="0.3">
      <c r="B85" s="117" t="s">
        <v>282</v>
      </c>
      <c r="C85" s="28" t="s">
        <v>285</v>
      </c>
      <c r="D85" s="28">
        <v>1900</v>
      </c>
      <c r="E85" s="24" t="s">
        <v>286</v>
      </c>
      <c r="F85" s="28">
        <v>12</v>
      </c>
      <c r="G85" s="28">
        <v>4</v>
      </c>
      <c r="H85" s="28">
        <v>22800</v>
      </c>
      <c r="I85" s="28">
        <v>7600</v>
      </c>
      <c r="J85" s="29">
        <v>43553</v>
      </c>
      <c r="K85" s="121" t="s">
        <v>498</v>
      </c>
    </row>
    <row r="86" spans="2:11" ht="15.6" x14ac:dyDescent="0.3">
      <c r="B86" s="119" t="s">
        <v>293</v>
      </c>
      <c r="C86" s="26" t="s">
        <v>277</v>
      </c>
      <c r="D86" s="26">
        <v>1300</v>
      </c>
      <c r="E86" s="25" t="s">
        <v>286</v>
      </c>
      <c r="F86" s="26">
        <v>28</v>
      </c>
      <c r="G86" s="26">
        <v>4</v>
      </c>
      <c r="H86" s="26">
        <v>36400</v>
      </c>
      <c r="I86" s="26">
        <v>5200</v>
      </c>
      <c r="J86" s="27">
        <v>43554</v>
      </c>
      <c r="K86" s="120" t="s">
        <v>497</v>
      </c>
    </row>
    <row r="87" spans="2:11" ht="15.6" x14ac:dyDescent="0.3">
      <c r="B87" s="117" t="s">
        <v>271</v>
      </c>
      <c r="C87" s="28" t="s">
        <v>275</v>
      </c>
      <c r="D87" s="28">
        <v>4200</v>
      </c>
      <c r="E87" s="24" t="s">
        <v>286</v>
      </c>
      <c r="F87" s="28">
        <v>48</v>
      </c>
      <c r="G87" s="28">
        <v>3</v>
      </c>
      <c r="H87" s="28">
        <v>201600</v>
      </c>
      <c r="I87" s="28">
        <v>12600</v>
      </c>
      <c r="J87" s="29">
        <v>43556</v>
      </c>
      <c r="K87" s="121" t="s">
        <v>488</v>
      </c>
    </row>
    <row r="88" spans="2:11" ht="15.6" x14ac:dyDescent="0.3">
      <c r="B88" s="119" t="s">
        <v>293</v>
      </c>
      <c r="C88" s="26" t="s">
        <v>280</v>
      </c>
      <c r="D88" s="26">
        <v>1650</v>
      </c>
      <c r="E88" s="25" t="s">
        <v>287</v>
      </c>
      <c r="F88" s="26">
        <v>42</v>
      </c>
      <c r="G88" s="26">
        <v>2</v>
      </c>
      <c r="H88" s="26">
        <v>69300</v>
      </c>
      <c r="I88" s="26">
        <v>3300</v>
      </c>
      <c r="J88" s="27">
        <v>43556</v>
      </c>
      <c r="K88" s="120" t="s">
        <v>497</v>
      </c>
    </row>
    <row r="89" spans="2:11" ht="15.6" x14ac:dyDescent="0.3">
      <c r="B89" s="117" t="s">
        <v>278</v>
      </c>
      <c r="C89" s="28" t="s">
        <v>289</v>
      </c>
      <c r="D89" s="28">
        <v>2700</v>
      </c>
      <c r="E89" s="24" t="s">
        <v>287</v>
      </c>
      <c r="F89" s="28">
        <v>38</v>
      </c>
      <c r="G89" s="28">
        <v>4</v>
      </c>
      <c r="H89" s="28">
        <v>102600</v>
      </c>
      <c r="I89" s="28">
        <v>10800</v>
      </c>
      <c r="J89" s="29">
        <v>43557</v>
      </c>
      <c r="K89" s="121" t="s">
        <v>488</v>
      </c>
    </row>
    <row r="90" spans="2:11" ht="15.6" x14ac:dyDescent="0.3">
      <c r="B90" s="119" t="s">
        <v>268</v>
      </c>
      <c r="C90" s="26" t="s">
        <v>295</v>
      </c>
      <c r="D90" s="26">
        <v>4450</v>
      </c>
      <c r="E90" s="25" t="s">
        <v>273</v>
      </c>
      <c r="F90" s="26">
        <v>50</v>
      </c>
      <c r="G90" s="26">
        <v>2</v>
      </c>
      <c r="H90" s="26">
        <v>222500</v>
      </c>
      <c r="I90" s="26">
        <v>8900</v>
      </c>
      <c r="J90" s="27">
        <v>43557</v>
      </c>
      <c r="K90" s="120" t="s">
        <v>680</v>
      </c>
    </row>
    <row r="91" spans="2:11" ht="15.6" x14ac:dyDescent="0.3">
      <c r="B91" s="117" t="s">
        <v>271</v>
      </c>
      <c r="C91" s="28" t="s">
        <v>283</v>
      </c>
      <c r="D91" s="28">
        <v>4350</v>
      </c>
      <c r="E91" s="24" t="s">
        <v>270</v>
      </c>
      <c r="F91" s="28">
        <v>21</v>
      </c>
      <c r="G91" s="28">
        <v>3</v>
      </c>
      <c r="H91" s="28">
        <v>91350</v>
      </c>
      <c r="I91" s="28">
        <v>13050</v>
      </c>
      <c r="J91" s="29">
        <v>43558</v>
      </c>
      <c r="K91" s="121" t="s">
        <v>488</v>
      </c>
    </row>
    <row r="92" spans="2:11" ht="15.6" x14ac:dyDescent="0.3">
      <c r="B92" s="119" t="s">
        <v>278</v>
      </c>
      <c r="C92" s="26" t="s">
        <v>285</v>
      </c>
      <c r="D92" s="26">
        <v>1800</v>
      </c>
      <c r="E92" s="25" t="s">
        <v>281</v>
      </c>
      <c r="F92" s="26">
        <v>13</v>
      </c>
      <c r="G92" s="26">
        <v>3</v>
      </c>
      <c r="H92" s="26">
        <v>23400</v>
      </c>
      <c r="I92" s="26">
        <v>5400</v>
      </c>
      <c r="J92" s="27">
        <v>43559</v>
      </c>
      <c r="K92" s="120" t="s">
        <v>488</v>
      </c>
    </row>
    <row r="93" spans="2:11" ht="15.6" x14ac:dyDescent="0.3">
      <c r="B93" s="117" t="s">
        <v>278</v>
      </c>
      <c r="C93" s="28" t="s">
        <v>283</v>
      </c>
      <c r="D93" s="28">
        <v>2090</v>
      </c>
      <c r="E93" s="24" t="s">
        <v>281</v>
      </c>
      <c r="F93" s="28">
        <v>24</v>
      </c>
      <c r="G93" s="28">
        <v>2</v>
      </c>
      <c r="H93" s="28">
        <v>50160</v>
      </c>
      <c r="I93" s="28">
        <v>4180</v>
      </c>
      <c r="J93" s="29">
        <v>43560</v>
      </c>
      <c r="K93" s="121" t="s">
        <v>488</v>
      </c>
    </row>
    <row r="94" spans="2:11" ht="15.6" x14ac:dyDescent="0.3">
      <c r="B94" s="119" t="s">
        <v>290</v>
      </c>
      <c r="C94" s="26" t="s">
        <v>284</v>
      </c>
      <c r="D94" s="26">
        <v>1120</v>
      </c>
      <c r="E94" s="25" t="s">
        <v>286</v>
      </c>
      <c r="F94" s="26">
        <v>39</v>
      </c>
      <c r="G94" s="26">
        <v>0</v>
      </c>
      <c r="H94" s="26">
        <v>43680</v>
      </c>
      <c r="I94" s="26">
        <v>0</v>
      </c>
      <c r="J94" s="27">
        <v>43561</v>
      </c>
      <c r="K94" s="120" t="s">
        <v>666</v>
      </c>
    </row>
    <row r="95" spans="2:11" ht="15.6" x14ac:dyDescent="0.3">
      <c r="B95" s="117" t="s">
        <v>278</v>
      </c>
      <c r="C95" s="28" t="s">
        <v>285</v>
      </c>
      <c r="D95" s="28">
        <v>1800</v>
      </c>
      <c r="E95" s="24" t="s">
        <v>276</v>
      </c>
      <c r="F95" s="28">
        <v>11</v>
      </c>
      <c r="G95" s="28">
        <v>1</v>
      </c>
      <c r="H95" s="28">
        <v>19800</v>
      </c>
      <c r="I95" s="28">
        <v>1800</v>
      </c>
      <c r="J95" s="29">
        <v>43561</v>
      </c>
      <c r="K95" s="121" t="s">
        <v>488</v>
      </c>
    </row>
    <row r="96" spans="2:11" ht="15.6" x14ac:dyDescent="0.3">
      <c r="B96" s="119" t="s">
        <v>268</v>
      </c>
      <c r="C96" s="26" t="s">
        <v>292</v>
      </c>
      <c r="D96" s="26">
        <v>3820</v>
      </c>
      <c r="E96" s="25" t="s">
        <v>286</v>
      </c>
      <c r="F96" s="26">
        <v>20</v>
      </c>
      <c r="G96" s="26">
        <v>0</v>
      </c>
      <c r="H96" s="26">
        <v>76400</v>
      </c>
      <c r="I96" s="26">
        <v>0</v>
      </c>
      <c r="J96" s="27">
        <v>43561</v>
      </c>
      <c r="K96" s="120" t="s">
        <v>680</v>
      </c>
    </row>
    <row r="97" spans="2:11" ht="15.6" x14ac:dyDescent="0.3">
      <c r="B97" s="117" t="s">
        <v>291</v>
      </c>
      <c r="C97" s="28" t="s">
        <v>289</v>
      </c>
      <c r="D97" s="28">
        <v>4600</v>
      </c>
      <c r="E97" s="24" t="s">
        <v>273</v>
      </c>
      <c r="F97" s="28">
        <v>24</v>
      </c>
      <c r="G97" s="28">
        <v>3</v>
      </c>
      <c r="H97" s="28">
        <v>110400</v>
      </c>
      <c r="I97" s="28">
        <v>13800</v>
      </c>
      <c r="J97" s="29">
        <v>43563</v>
      </c>
      <c r="K97" s="121" t="s">
        <v>666</v>
      </c>
    </row>
    <row r="98" spans="2:11" ht="15.6" x14ac:dyDescent="0.3">
      <c r="B98" s="119" t="s">
        <v>279</v>
      </c>
      <c r="C98" s="26" t="s">
        <v>284</v>
      </c>
      <c r="D98" s="26">
        <v>1950</v>
      </c>
      <c r="E98" s="25" t="s">
        <v>273</v>
      </c>
      <c r="F98" s="26">
        <v>32</v>
      </c>
      <c r="G98" s="26">
        <v>3</v>
      </c>
      <c r="H98" s="26">
        <v>62400</v>
      </c>
      <c r="I98" s="26">
        <v>5850</v>
      </c>
      <c r="J98" s="27">
        <v>43563</v>
      </c>
      <c r="K98" s="120" t="s">
        <v>687</v>
      </c>
    </row>
    <row r="99" spans="2:11" ht="15.6" x14ac:dyDescent="0.3">
      <c r="B99" s="117" t="s">
        <v>268</v>
      </c>
      <c r="C99" s="28" t="s">
        <v>292</v>
      </c>
      <c r="D99" s="28">
        <v>3800</v>
      </c>
      <c r="E99" s="24" t="s">
        <v>276</v>
      </c>
      <c r="F99" s="28">
        <v>40</v>
      </c>
      <c r="G99" s="28">
        <v>3</v>
      </c>
      <c r="H99" s="28">
        <v>152000</v>
      </c>
      <c r="I99" s="28">
        <v>11400</v>
      </c>
      <c r="J99" s="29">
        <v>43564</v>
      </c>
      <c r="K99" s="121" t="s">
        <v>680</v>
      </c>
    </row>
    <row r="100" spans="2:11" ht="15.6" x14ac:dyDescent="0.3">
      <c r="B100" s="119" t="s">
        <v>282</v>
      </c>
      <c r="C100" s="26" t="s">
        <v>275</v>
      </c>
      <c r="D100" s="26">
        <v>3190</v>
      </c>
      <c r="E100" s="25" t="s">
        <v>273</v>
      </c>
      <c r="F100" s="26">
        <v>23</v>
      </c>
      <c r="G100" s="26">
        <v>1</v>
      </c>
      <c r="H100" s="26">
        <v>73370</v>
      </c>
      <c r="I100" s="26">
        <v>3190</v>
      </c>
      <c r="J100" s="27">
        <v>43564</v>
      </c>
      <c r="K100" s="120" t="s">
        <v>498</v>
      </c>
    </row>
    <row r="101" spans="2:11" ht="15.6" x14ac:dyDescent="0.3">
      <c r="B101" s="117" t="s">
        <v>288</v>
      </c>
      <c r="C101" s="28" t="s">
        <v>289</v>
      </c>
      <c r="D101" s="28">
        <v>1250</v>
      </c>
      <c r="E101" s="24" t="s">
        <v>286</v>
      </c>
      <c r="F101" s="28">
        <v>29</v>
      </c>
      <c r="G101" s="28">
        <v>4</v>
      </c>
      <c r="H101" s="28">
        <v>36250</v>
      </c>
      <c r="I101" s="28">
        <v>5000</v>
      </c>
      <c r="J101" s="29">
        <v>43565</v>
      </c>
      <c r="K101" s="121" t="s">
        <v>666</v>
      </c>
    </row>
    <row r="102" spans="2:11" ht="15.6" x14ac:dyDescent="0.3">
      <c r="B102" s="119" t="s">
        <v>291</v>
      </c>
      <c r="C102" s="26" t="s">
        <v>280</v>
      </c>
      <c r="D102" s="26">
        <v>5500</v>
      </c>
      <c r="E102" s="25" t="s">
        <v>286</v>
      </c>
      <c r="F102" s="26">
        <v>20</v>
      </c>
      <c r="G102" s="26">
        <v>4</v>
      </c>
      <c r="H102" s="26">
        <v>110000</v>
      </c>
      <c r="I102" s="26">
        <v>22000</v>
      </c>
      <c r="J102" s="27">
        <v>43565</v>
      </c>
      <c r="K102" s="120" t="s">
        <v>666</v>
      </c>
    </row>
    <row r="103" spans="2:11" ht="15.6" x14ac:dyDescent="0.3">
      <c r="B103" s="117" t="s">
        <v>274</v>
      </c>
      <c r="C103" s="28" t="s">
        <v>289</v>
      </c>
      <c r="D103" s="28">
        <v>1200</v>
      </c>
      <c r="E103" s="24" t="s">
        <v>273</v>
      </c>
      <c r="F103" s="28">
        <v>44</v>
      </c>
      <c r="G103" s="28">
        <v>2</v>
      </c>
      <c r="H103" s="28">
        <v>52800</v>
      </c>
      <c r="I103" s="28">
        <v>2400</v>
      </c>
      <c r="J103" s="29">
        <v>43567</v>
      </c>
      <c r="K103" s="121" t="s">
        <v>488</v>
      </c>
    </row>
    <row r="104" spans="2:11" ht="15.6" x14ac:dyDescent="0.3">
      <c r="B104" s="119" t="s">
        <v>271</v>
      </c>
      <c r="C104" s="26" t="s">
        <v>280</v>
      </c>
      <c r="D104" s="26">
        <v>2850</v>
      </c>
      <c r="E104" s="25" t="s">
        <v>273</v>
      </c>
      <c r="F104" s="26">
        <v>48</v>
      </c>
      <c r="G104" s="26">
        <v>1</v>
      </c>
      <c r="H104" s="26">
        <v>136800</v>
      </c>
      <c r="I104" s="26">
        <v>2850</v>
      </c>
      <c r="J104" s="27">
        <v>43568</v>
      </c>
      <c r="K104" s="120" t="s">
        <v>488</v>
      </c>
    </row>
    <row r="105" spans="2:11" ht="15.6" x14ac:dyDescent="0.3">
      <c r="B105" s="117" t="s">
        <v>293</v>
      </c>
      <c r="C105" s="28" t="s">
        <v>285</v>
      </c>
      <c r="D105" s="28">
        <v>1700</v>
      </c>
      <c r="E105" s="24" t="s">
        <v>276</v>
      </c>
      <c r="F105" s="28">
        <v>45</v>
      </c>
      <c r="G105" s="28">
        <v>2</v>
      </c>
      <c r="H105" s="28">
        <v>76500</v>
      </c>
      <c r="I105" s="28">
        <v>3400</v>
      </c>
      <c r="J105" s="29">
        <v>43568</v>
      </c>
      <c r="K105" s="121" t="s">
        <v>497</v>
      </c>
    </row>
    <row r="106" spans="2:11" ht="15.6" x14ac:dyDescent="0.3">
      <c r="B106" s="119" t="s">
        <v>290</v>
      </c>
      <c r="C106" s="26" t="s">
        <v>285</v>
      </c>
      <c r="D106" s="26">
        <v>1200</v>
      </c>
      <c r="E106" s="25" t="s">
        <v>281</v>
      </c>
      <c r="F106" s="26">
        <v>44</v>
      </c>
      <c r="G106" s="26">
        <v>3</v>
      </c>
      <c r="H106" s="26">
        <v>52800</v>
      </c>
      <c r="I106" s="26">
        <v>3600</v>
      </c>
      <c r="J106" s="27">
        <v>43569</v>
      </c>
      <c r="K106" s="120" t="s">
        <v>666</v>
      </c>
    </row>
    <row r="107" spans="2:11" ht="15.6" x14ac:dyDescent="0.3">
      <c r="B107" s="117" t="s">
        <v>293</v>
      </c>
      <c r="C107" s="28" t="s">
        <v>283</v>
      </c>
      <c r="D107" s="28">
        <v>1400</v>
      </c>
      <c r="E107" s="24" t="s">
        <v>281</v>
      </c>
      <c r="F107" s="28">
        <v>12</v>
      </c>
      <c r="G107" s="28">
        <v>1</v>
      </c>
      <c r="H107" s="28">
        <v>16800</v>
      </c>
      <c r="I107" s="28">
        <v>1400</v>
      </c>
      <c r="J107" s="29">
        <v>43570</v>
      </c>
      <c r="K107" s="121" t="s">
        <v>497</v>
      </c>
    </row>
    <row r="108" spans="2:11" ht="15.6" x14ac:dyDescent="0.3">
      <c r="B108" s="119" t="s">
        <v>279</v>
      </c>
      <c r="C108" s="26" t="s">
        <v>275</v>
      </c>
      <c r="D108" s="26">
        <v>900</v>
      </c>
      <c r="E108" s="25" t="s">
        <v>287</v>
      </c>
      <c r="F108" s="26">
        <v>34</v>
      </c>
      <c r="G108" s="26">
        <v>1</v>
      </c>
      <c r="H108" s="26">
        <v>30600</v>
      </c>
      <c r="I108" s="26">
        <v>900</v>
      </c>
      <c r="J108" s="27">
        <v>43571</v>
      </c>
      <c r="K108" s="120" t="s">
        <v>687</v>
      </c>
    </row>
    <row r="109" spans="2:11" ht="15.6" x14ac:dyDescent="0.3">
      <c r="B109" s="117" t="s">
        <v>293</v>
      </c>
      <c r="C109" s="28" t="s">
        <v>283</v>
      </c>
      <c r="D109" s="28">
        <v>1380</v>
      </c>
      <c r="E109" s="24" t="s">
        <v>270</v>
      </c>
      <c r="F109" s="28">
        <v>14</v>
      </c>
      <c r="G109" s="28">
        <v>1</v>
      </c>
      <c r="H109" s="28">
        <v>19320</v>
      </c>
      <c r="I109" s="28">
        <v>1380</v>
      </c>
      <c r="J109" s="29">
        <v>43572</v>
      </c>
      <c r="K109" s="121" t="s">
        <v>497</v>
      </c>
    </row>
    <row r="110" spans="2:11" ht="15.6" x14ac:dyDescent="0.3">
      <c r="B110" s="119" t="s">
        <v>291</v>
      </c>
      <c r="C110" s="26" t="s">
        <v>289</v>
      </c>
      <c r="D110" s="26">
        <v>4550</v>
      </c>
      <c r="E110" s="25" t="s">
        <v>286</v>
      </c>
      <c r="F110" s="26">
        <v>26</v>
      </c>
      <c r="G110" s="26">
        <v>3</v>
      </c>
      <c r="H110" s="26">
        <v>118300</v>
      </c>
      <c r="I110" s="26">
        <v>13650</v>
      </c>
      <c r="J110" s="27">
        <v>43573</v>
      </c>
      <c r="K110" s="120" t="s">
        <v>666</v>
      </c>
    </row>
    <row r="111" spans="2:11" ht="15.6" x14ac:dyDescent="0.3">
      <c r="B111" s="117" t="s">
        <v>274</v>
      </c>
      <c r="C111" s="28" t="s">
        <v>277</v>
      </c>
      <c r="D111" s="28">
        <v>2500</v>
      </c>
      <c r="E111" s="24" t="s">
        <v>276</v>
      </c>
      <c r="F111" s="28">
        <v>25</v>
      </c>
      <c r="G111" s="28">
        <v>0</v>
      </c>
      <c r="H111" s="28">
        <v>62500</v>
      </c>
      <c r="I111" s="28">
        <v>0</v>
      </c>
      <c r="J111" s="29">
        <v>43574</v>
      </c>
      <c r="K111" s="121" t="s">
        <v>488</v>
      </c>
    </row>
    <row r="112" spans="2:11" ht="15.6" x14ac:dyDescent="0.3">
      <c r="B112" s="119" t="s">
        <v>271</v>
      </c>
      <c r="C112" s="26" t="s">
        <v>280</v>
      </c>
      <c r="D112" s="26">
        <v>2850</v>
      </c>
      <c r="E112" s="25" t="s">
        <v>270</v>
      </c>
      <c r="F112" s="26">
        <v>35</v>
      </c>
      <c r="G112" s="26">
        <v>2</v>
      </c>
      <c r="H112" s="26">
        <v>99750</v>
      </c>
      <c r="I112" s="26">
        <v>5700</v>
      </c>
      <c r="J112" s="27">
        <v>43574</v>
      </c>
      <c r="K112" s="120" t="s">
        <v>488</v>
      </c>
    </row>
    <row r="113" spans="2:11" ht="15.6" x14ac:dyDescent="0.3">
      <c r="B113" s="117" t="s">
        <v>274</v>
      </c>
      <c r="C113" s="28" t="s">
        <v>275</v>
      </c>
      <c r="D113" s="28">
        <v>850</v>
      </c>
      <c r="E113" s="24" t="s">
        <v>286</v>
      </c>
      <c r="F113" s="28">
        <v>26</v>
      </c>
      <c r="G113" s="28">
        <v>0</v>
      </c>
      <c r="H113" s="28">
        <v>22100</v>
      </c>
      <c r="I113" s="28">
        <v>0</v>
      </c>
      <c r="J113" s="29">
        <v>43576</v>
      </c>
      <c r="K113" s="121" t="s">
        <v>488</v>
      </c>
    </row>
    <row r="114" spans="2:11" ht="15.6" x14ac:dyDescent="0.3">
      <c r="B114" s="119" t="s">
        <v>271</v>
      </c>
      <c r="C114" s="26" t="s">
        <v>272</v>
      </c>
      <c r="D114" s="26">
        <v>3900</v>
      </c>
      <c r="E114" s="25" t="s">
        <v>286</v>
      </c>
      <c r="F114" s="26">
        <v>27</v>
      </c>
      <c r="G114" s="26">
        <v>3</v>
      </c>
      <c r="H114" s="26">
        <v>105300</v>
      </c>
      <c r="I114" s="26">
        <v>11700</v>
      </c>
      <c r="J114" s="27">
        <v>43576</v>
      </c>
      <c r="K114" s="120" t="s">
        <v>488</v>
      </c>
    </row>
    <row r="115" spans="2:11" ht="15.6" x14ac:dyDescent="0.3">
      <c r="B115" s="117" t="s">
        <v>293</v>
      </c>
      <c r="C115" s="28" t="s">
        <v>277</v>
      </c>
      <c r="D115" s="28">
        <v>1280</v>
      </c>
      <c r="E115" s="24" t="s">
        <v>287</v>
      </c>
      <c r="F115" s="28">
        <v>42</v>
      </c>
      <c r="G115" s="28">
        <v>0</v>
      </c>
      <c r="H115" s="28">
        <v>53760</v>
      </c>
      <c r="I115" s="28">
        <v>0</v>
      </c>
      <c r="J115" s="29">
        <v>43576</v>
      </c>
      <c r="K115" s="121" t="s">
        <v>497</v>
      </c>
    </row>
    <row r="116" spans="2:11" ht="15.6" x14ac:dyDescent="0.3">
      <c r="B116" s="119" t="s">
        <v>278</v>
      </c>
      <c r="C116" s="26" t="s">
        <v>283</v>
      </c>
      <c r="D116" s="26">
        <v>2150</v>
      </c>
      <c r="E116" s="25" t="s">
        <v>273</v>
      </c>
      <c r="F116" s="26">
        <v>18</v>
      </c>
      <c r="G116" s="26">
        <v>4</v>
      </c>
      <c r="H116" s="26">
        <v>38700</v>
      </c>
      <c r="I116" s="26">
        <v>8600</v>
      </c>
      <c r="J116" s="27">
        <v>43577</v>
      </c>
      <c r="K116" s="120" t="s">
        <v>680</v>
      </c>
    </row>
    <row r="117" spans="2:11" ht="15.6" x14ac:dyDescent="0.3">
      <c r="B117" s="117" t="s">
        <v>291</v>
      </c>
      <c r="C117" s="28" t="s">
        <v>277</v>
      </c>
      <c r="D117" s="28">
        <v>10110</v>
      </c>
      <c r="E117" s="24" t="s">
        <v>286</v>
      </c>
      <c r="F117" s="28">
        <v>39</v>
      </c>
      <c r="G117" s="28">
        <v>4</v>
      </c>
      <c r="H117" s="28">
        <v>394290</v>
      </c>
      <c r="I117" s="28">
        <v>40440</v>
      </c>
      <c r="J117" s="29">
        <v>43578</v>
      </c>
      <c r="K117" s="121" t="s">
        <v>666</v>
      </c>
    </row>
    <row r="118" spans="2:11" ht="15.6" x14ac:dyDescent="0.3">
      <c r="B118" s="119" t="s">
        <v>282</v>
      </c>
      <c r="C118" s="26" t="s">
        <v>275</v>
      </c>
      <c r="D118" s="26">
        <v>3160</v>
      </c>
      <c r="E118" s="25" t="s">
        <v>270</v>
      </c>
      <c r="F118" s="26">
        <v>46</v>
      </c>
      <c r="G118" s="26">
        <v>1</v>
      </c>
      <c r="H118" s="26">
        <v>145360</v>
      </c>
      <c r="I118" s="26">
        <v>3160</v>
      </c>
      <c r="J118" s="27">
        <v>43578</v>
      </c>
      <c r="K118" s="120" t="s">
        <v>498</v>
      </c>
    </row>
    <row r="119" spans="2:11" ht="15.6" x14ac:dyDescent="0.3">
      <c r="B119" s="117" t="s">
        <v>291</v>
      </c>
      <c r="C119" s="28" t="s">
        <v>280</v>
      </c>
      <c r="D119" s="28">
        <v>5490</v>
      </c>
      <c r="E119" s="24" t="s">
        <v>287</v>
      </c>
      <c r="F119" s="28">
        <v>17</v>
      </c>
      <c r="G119" s="28">
        <v>2</v>
      </c>
      <c r="H119" s="28">
        <v>93330</v>
      </c>
      <c r="I119" s="28">
        <v>10980</v>
      </c>
      <c r="J119" s="29">
        <v>43579</v>
      </c>
      <c r="K119" s="121" t="s">
        <v>666</v>
      </c>
    </row>
    <row r="120" spans="2:11" ht="15.6" x14ac:dyDescent="0.3">
      <c r="B120" s="119" t="s">
        <v>282</v>
      </c>
      <c r="C120" s="26" t="s">
        <v>289</v>
      </c>
      <c r="D120" s="26">
        <v>3150</v>
      </c>
      <c r="E120" s="25" t="s">
        <v>270</v>
      </c>
      <c r="F120" s="26">
        <v>39</v>
      </c>
      <c r="G120" s="26">
        <v>0</v>
      </c>
      <c r="H120" s="26">
        <v>122850</v>
      </c>
      <c r="I120" s="26">
        <v>0</v>
      </c>
      <c r="J120" s="27">
        <v>43579</v>
      </c>
      <c r="K120" s="120" t="s">
        <v>498</v>
      </c>
    </row>
    <row r="121" spans="2:11" ht="15.6" x14ac:dyDescent="0.3">
      <c r="B121" s="117" t="s">
        <v>288</v>
      </c>
      <c r="C121" s="28" t="s">
        <v>284</v>
      </c>
      <c r="D121" s="28">
        <v>3400</v>
      </c>
      <c r="E121" s="24" t="s">
        <v>286</v>
      </c>
      <c r="F121" s="28">
        <v>17</v>
      </c>
      <c r="G121" s="28">
        <v>2</v>
      </c>
      <c r="H121" s="28">
        <v>57800</v>
      </c>
      <c r="I121" s="28">
        <v>6800</v>
      </c>
      <c r="J121" s="29">
        <v>43580</v>
      </c>
      <c r="K121" s="121" t="s">
        <v>666</v>
      </c>
    </row>
    <row r="122" spans="2:11" ht="15.6" x14ac:dyDescent="0.3">
      <c r="B122" s="119" t="s">
        <v>274</v>
      </c>
      <c r="C122" s="26" t="s">
        <v>275</v>
      </c>
      <c r="D122" s="26">
        <v>890</v>
      </c>
      <c r="E122" s="25" t="s">
        <v>270</v>
      </c>
      <c r="F122" s="26">
        <v>44</v>
      </c>
      <c r="G122" s="26">
        <v>1</v>
      </c>
      <c r="H122" s="26">
        <v>39160</v>
      </c>
      <c r="I122" s="26">
        <v>890</v>
      </c>
      <c r="J122" s="27">
        <v>43580</v>
      </c>
      <c r="K122" s="120" t="s">
        <v>488</v>
      </c>
    </row>
    <row r="123" spans="2:11" ht="15.6" x14ac:dyDescent="0.3">
      <c r="B123" s="117" t="s">
        <v>268</v>
      </c>
      <c r="C123" s="28" t="s">
        <v>295</v>
      </c>
      <c r="D123" s="28">
        <v>4500</v>
      </c>
      <c r="E123" s="24" t="s">
        <v>287</v>
      </c>
      <c r="F123" s="28">
        <v>33</v>
      </c>
      <c r="G123" s="28">
        <v>3</v>
      </c>
      <c r="H123" s="28">
        <v>148500</v>
      </c>
      <c r="I123" s="28">
        <v>13500</v>
      </c>
      <c r="J123" s="29">
        <v>43582</v>
      </c>
      <c r="K123" s="121" t="s">
        <v>680</v>
      </c>
    </row>
    <row r="124" spans="2:11" ht="15.6" x14ac:dyDescent="0.3">
      <c r="B124" s="119" t="s">
        <v>288</v>
      </c>
      <c r="C124" s="26" t="s">
        <v>289</v>
      </c>
      <c r="D124" s="26">
        <v>1280</v>
      </c>
      <c r="E124" s="25" t="s">
        <v>287</v>
      </c>
      <c r="F124" s="26">
        <v>14</v>
      </c>
      <c r="G124" s="26">
        <v>0</v>
      </c>
      <c r="H124" s="26">
        <v>17920</v>
      </c>
      <c r="I124" s="26">
        <v>0</v>
      </c>
      <c r="J124" s="27">
        <v>43585</v>
      </c>
      <c r="K124" s="120" t="s">
        <v>666</v>
      </c>
    </row>
    <row r="125" spans="2:11" ht="15.6" x14ac:dyDescent="0.3">
      <c r="B125" s="117" t="s">
        <v>278</v>
      </c>
      <c r="C125" s="28" t="s">
        <v>280</v>
      </c>
      <c r="D125" s="28">
        <v>2540</v>
      </c>
      <c r="E125" s="24" t="s">
        <v>273</v>
      </c>
      <c r="F125" s="28">
        <v>48</v>
      </c>
      <c r="G125" s="28">
        <v>4</v>
      </c>
      <c r="H125" s="28">
        <v>121920</v>
      </c>
      <c r="I125" s="28">
        <v>10160</v>
      </c>
      <c r="J125" s="29">
        <v>43586</v>
      </c>
      <c r="K125" s="121" t="s">
        <v>680</v>
      </c>
    </row>
    <row r="126" spans="2:11" ht="15.6" x14ac:dyDescent="0.3">
      <c r="B126" s="119" t="s">
        <v>293</v>
      </c>
      <c r="C126" s="26" t="s">
        <v>277</v>
      </c>
      <c r="D126" s="26">
        <v>1200</v>
      </c>
      <c r="E126" s="25" t="s">
        <v>281</v>
      </c>
      <c r="F126" s="26">
        <v>23</v>
      </c>
      <c r="G126" s="26">
        <v>2</v>
      </c>
      <c r="H126" s="26">
        <v>27600</v>
      </c>
      <c r="I126" s="26">
        <v>2400</v>
      </c>
      <c r="J126" s="27">
        <v>43589</v>
      </c>
      <c r="K126" s="120" t="s">
        <v>497</v>
      </c>
    </row>
    <row r="127" spans="2:11" ht="15.6" x14ac:dyDescent="0.3">
      <c r="B127" s="117" t="s">
        <v>290</v>
      </c>
      <c r="C127" s="28" t="s">
        <v>280</v>
      </c>
      <c r="D127" s="28">
        <v>800</v>
      </c>
      <c r="E127" s="24" t="s">
        <v>281</v>
      </c>
      <c r="F127" s="28">
        <v>44</v>
      </c>
      <c r="G127" s="28">
        <v>4</v>
      </c>
      <c r="H127" s="28">
        <v>35200</v>
      </c>
      <c r="I127" s="28">
        <v>3200</v>
      </c>
      <c r="J127" s="29">
        <v>43590</v>
      </c>
      <c r="K127" s="121" t="s">
        <v>666</v>
      </c>
    </row>
    <row r="128" spans="2:11" ht="15.6" x14ac:dyDescent="0.3">
      <c r="B128" s="119" t="s">
        <v>271</v>
      </c>
      <c r="C128" s="26" t="s">
        <v>284</v>
      </c>
      <c r="D128" s="26">
        <v>2900</v>
      </c>
      <c r="E128" s="25" t="s">
        <v>276</v>
      </c>
      <c r="F128" s="26">
        <v>42</v>
      </c>
      <c r="G128" s="26">
        <v>3</v>
      </c>
      <c r="H128" s="26">
        <v>121800</v>
      </c>
      <c r="I128" s="26">
        <v>8700</v>
      </c>
      <c r="J128" s="27">
        <v>43592</v>
      </c>
      <c r="K128" s="120" t="s">
        <v>488</v>
      </c>
    </row>
    <row r="129" spans="2:11" ht="15.6" x14ac:dyDescent="0.3">
      <c r="B129" s="117" t="s">
        <v>278</v>
      </c>
      <c r="C129" s="28" t="s">
        <v>285</v>
      </c>
      <c r="D129" s="28">
        <v>1790</v>
      </c>
      <c r="E129" s="24" t="s">
        <v>287</v>
      </c>
      <c r="F129" s="28">
        <v>24</v>
      </c>
      <c r="G129" s="28">
        <v>4</v>
      </c>
      <c r="H129" s="28">
        <v>42960</v>
      </c>
      <c r="I129" s="28">
        <v>7160</v>
      </c>
      <c r="J129" s="29">
        <v>43592</v>
      </c>
      <c r="K129" s="121" t="s">
        <v>680</v>
      </c>
    </row>
    <row r="130" spans="2:11" ht="15.6" x14ac:dyDescent="0.3">
      <c r="B130" s="119" t="s">
        <v>294</v>
      </c>
      <c r="C130" s="26" t="s">
        <v>275</v>
      </c>
      <c r="D130" s="26">
        <v>1870</v>
      </c>
      <c r="E130" s="25" t="s">
        <v>287</v>
      </c>
      <c r="F130" s="26">
        <v>20</v>
      </c>
      <c r="G130" s="26">
        <v>0</v>
      </c>
      <c r="H130" s="26">
        <v>37400</v>
      </c>
      <c r="I130" s="26">
        <v>0</v>
      </c>
      <c r="J130" s="27">
        <v>43593</v>
      </c>
      <c r="K130" s="120" t="s">
        <v>666</v>
      </c>
    </row>
    <row r="131" spans="2:11" ht="15.6" x14ac:dyDescent="0.3">
      <c r="B131" s="117" t="s">
        <v>278</v>
      </c>
      <c r="C131" s="28" t="s">
        <v>289</v>
      </c>
      <c r="D131" s="28">
        <v>2700</v>
      </c>
      <c r="E131" s="24" t="s">
        <v>286</v>
      </c>
      <c r="F131" s="28">
        <v>16</v>
      </c>
      <c r="G131" s="28">
        <v>1</v>
      </c>
      <c r="H131" s="28">
        <v>43200</v>
      </c>
      <c r="I131" s="28">
        <v>2700</v>
      </c>
      <c r="J131" s="29">
        <v>43594</v>
      </c>
      <c r="K131" s="121" t="s">
        <v>680</v>
      </c>
    </row>
    <row r="132" spans="2:11" ht="15.6" x14ac:dyDescent="0.3">
      <c r="B132" s="119" t="s">
        <v>282</v>
      </c>
      <c r="C132" s="26" t="s">
        <v>280</v>
      </c>
      <c r="D132" s="26">
        <v>2550</v>
      </c>
      <c r="E132" s="25" t="s">
        <v>273</v>
      </c>
      <c r="F132" s="26">
        <v>21</v>
      </c>
      <c r="G132" s="26">
        <v>3</v>
      </c>
      <c r="H132" s="26">
        <v>53550</v>
      </c>
      <c r="I132" s="26">
        <v>7650</v>
      </c>
      <c r="J132" s="27">
        <v>43595</v>
      </c>
      <c r="K132" s="120" t="s">
        <v>498</v>
      </c>
    </row>
    <row r="133" spans="2:11" ht="15.6" x14ac:dyDescent="0.3">
      <c r="B133" s="117" t="s">
        <v>288</v>
      </c>
      <c r="C133" s="28" t="s">
        <v>284</v>
      </c>
      <c r="D133" s="28">
        <v>3370</v>
      </c>
      <c r="E133" s="24" t="s">
        <v>270</v>
      </c>
      <c r="F133" s="28">
        <v>33</v>
      </c>
      <c r="G133" s="28">
        <v>2</v>
      </c>
      <c r="H133" s="28">
        <v>111210</v>
      </c>
      <c r="I133" s="28">
        <v>6740</v>
      </c>
      <c r="J133" s="29">
        <v>43597</v>
      </c>
      <c r="K133" s="121" t="s">
        <v>666</v>
      </c>
    </row>
    <row r="134" spans="2:11" ht="15.6" x14ac:dyDescent="0.3">
      <c r="B134" s="119" t="s">
        <v>279</v>
      </c>
      <c r="C134" s="26" t="s">
        <v>284</v>
      </c>
      <c r="D134" s="26">
        <v>1980</v>
      </c>
      <c r="E134" s="25" t="s">
        <v>286</v>
      </c>
      <c r="F134" s="26">
        <v>35</v>
      </c>
      <c r="G134" s="26">
        <v>2</v>
      </c>
      <c r="H134" s="26">
        <v>69300</v>
      </c>
      <c r="I134" s="26">
        <v>3960</v>
      </c>
      <c r="J134" s="27">
        <v>43597</v>
      </c>
      <c r="K134" s="120" t="s">
        <v>687</v>
      </c>
    </row>
    <row r="135" spans="2:11" ht="15.6" x14ac:dyDescent="0.3">
      <c r="B135" s="117" t="s">
        <v>282</v>
      </c>
      <c r="C135" s="28" t="s">
        <v>275</v>
      </c>
      <c r="D135" s="28">
        <v>3200</v>
      </c>
      <c r="E135" s="24" t="s">
        <v>281</v>
      </c>
      <c r="F135" s="28">
        <v>27</v>
      </c>
      <c r="G135" s="28">
        <v>1</v>
      </c>
      <c r="H135" s="28">
        <v>86400</v>
      </c>
      <c r="I135" s="28">
        <v>3200</v>
      </c>
      <c r="J135" s="29">
        <v>43599</v>
      </c>
      <c r="K135" s="121" t="s">
        <v>498</v>
      </c>
    </row>
    <row r="136" spans="2:11" ht="15.6" x14ac:dyDescent="0.3">
      <c r="B136" s="119" t="s">
        <v>278</v>
      </c>
      <c r="C136" s="26" t="s">
        <v>283</v>
      </c>
      <c r="D136" s="26">
        <v>2220</v>
      </c>
      <c r="E136" s="25" t="s">
        <v>286</v>
      </c>
      <c r="F136" s="26">
        <v>32</v>
      </c>
      <c r="G136" s="26">
        <v>3</v>
      </c>
      <c r="H136" s="26">
        <v>71040</v>
      </c>
      <c r="I136" s="26">
        <v>6660</v>
      </c>
      <c r="J136" s="27">
        <v>43600</v>
      </c>
      <c r="K136" s="120" t="s">
        <v>680</v>
      </c>
    </row>
    <row r="137" spans="2:11" ht="15.6" x14ac:dyDescent="0.3">
      <c r="B137" s="117" t="s">
        <v>288</v>
      </c>
      <c r="C137" s="28" t="s">
        <v>277</v>
      </c>
      <c r="D137" s="28">
        <v>2900</v>
      </c>
      <c r="E137" s="24" t="s">
        <v>270</v>
      </c>
      <c r="F137" s="28">
        <v>36</v>
      </c>
      <c r="G137" s="28">
        <v>0</v>
      </c>
      <c r="H137" s="28">
        <v>104400</v>
      </c>
      <c r="I137" s="28">
        <v>0</v>
      </c>
      <c r="J137" s="29">
        <v>43601</v>
      </c>
      <c r="K137" s="121" t="s">
        <v>666</v>
      </c>
    </row>
    <row r="138" spans="2:11" ht="15.6" x14ac:dyDescent="0.3">
      <c r="B138" s="119" t="s">
        <v>271</v>
      </c>
      <c r="C138" s="26" t="s">
        <v>275</v>
      </c>
      <c r="D138" s="26">
        <v>4210</v>
      </c>
      <c r="E138" s="25" t="s">
        <v>281</v>
      </c>
      <c r="F138" s="26">
        <v>20</v>
      </c>
      <c r="G138" s="26">
        <v>4</v>
      </c>
      <c r="H138" s="26">
        <v>84200</v>
      </c>
      <c r="I138" s="26">
        <v>16840</v>
      </c>
      <c r="J138" s="27">
        <v>43602</v>
      </c>
      <c r="K138" s="120" t="s">
        <v>488</v>
      </c>
    </row>
    <row r="139" spans="2:11" ht="15.6" x14ac:dyDescent="0.3">
      <c r="B139" s="117" t="s">
        <v>282</v>
      </c>
      <c r="C139" s="28" t="s">
        <v>284</v>
      </c>
      <c r="D139" s="28">
        <v>4800</v>
      </c>
      <c r="E139" s="24" t="s">
        <v>270</v>
      </c>
      <c r="F139" s="28">
        <v>27</v>
      </c>
      <c r="G139" s="28">
        <v>4</v>
      </c>
      <c r="H139" s="28">
        <v>129600</v>
      </c>
      <c r="I139" s="28">
        <v>19200</v>
      </c>
      <c r="J139" s="29">
        <v>43602</v>
      </c>
      <c r="K139" s="121" t="s">
        <v>498</v>
      </c>
    </row>
    <row r="140" spans="2:11" ht="15.6" x14ac:dyDescent="0.3">
      <c r="B140" s="119" t="s">
        <v>294</v>
      </c>
      <c r="C140" s="26" t="s">
        <v>275</v>
      </c>
      <c r="D140" s="26">
        <v>1850</v>
      </c>
      <c r="E140" s="25" t="s">
        <v>270</v>
      </c>
      <c r="F140" s="26">
        <v>12</v>
      </c>
      <c r="G140" s="26">
        <v>1</v>
      </c>
      <c r="H140" s="26">
        <v>22200</v>
      </c>
      <c r="I140" s="26">
        <v>1850</v>
      </c>
      <c r="J140" s="27">
        <v>43603</v>
      </c>
      <c r="K140" s="120" t="s">
        <v>666</v>
      </c>
    </row>
    <row r="141" spans="2:11" ht="15.6" x14ac:dyDescent="0.3">
      <c r="B141" s="117" t="s">
        <v>288</v>
      </c>
      <c r="C141" s="28" t="s">
        <v>280</v>
      </c>
      <c r="D141" s="28">
        <v>1450</v>
      </c>
      <c r="E141" s="24" t="s">
        <v>276</v>
      </c>
      <c r="F141" s="28">
        <v>14</v>
      </c>
      <c r="G141" s="28">
        <v>1</v>
      </c>
      <c r="H141" s="28">
        <v>20300</v>
      </c>
      <c r="I141" s="28">
        <v>1450</v>
      </c>
      <c r="J141" s="29">
        <v>43604</v>
      </c>
      <c r="K141" s="121" t="s">
        <v>666</v>
      </c>
    </row>
    <row r="142" spans="2:11" ht="15.6" x14ac:dyDescent="0.3">
      <c r="B142" s="119" t="s">
        <v>278</v>
      </c>
      <c r="C142" s="26" t="s">
        <v>285</v>
      </c>
      <c r="D142" s="26">
        <v>1790</v>
      </c>
      <c r="E142" s="25" t="s">
        <v>270</v>
      </c>
      <c r="F142" s="26">
        <v>31</v>
      </c>
      <c r="G142" s="26">
        <v>1</v>
      </c>
      <c r="H142" s="26">
        <v>55490</v>
      </c>
      <c r="I142" s="26">
        <v>1790</v>
      </c>
      <c r="J142" s="27">
        <v>43605</v>
      </c>
      <c r="K142" s="120" t="s">
        <v>680</v>
      </c>
    </row>
    <row r="143" spans="2:11" ht="15.6" x14ac:dyDescent="0.3">
      <c r="B143" s="117" t="s">
        <v>290</v>
      </c>
      <c r="C143" s="28" t="s">
        <v>285</v>
      </c>
      <c r="D143" s="28">
        <v>1200</v>
      </c>
      <c r="E143" s="24" t="s">
        <v>270</v>
      </c>
      <c r="F143" s="28">
        <v>42</v>
      </c>
      <c r="G143" s="28">
        <v>2</v>
      </c>
      <c r="H143" s="28">
        <v>50400</v>
      </c>
      <c r="I143" s="28">
        <v>2400</v>
      </c>
      <c r="J143" s="29">
        <v>43606</v>
      </c>
      <c r="K143" s="121" t="s">
        <v>666</v>
      </c>
    </row>
    <row r="144" spans="2:11" ht="15.6" x14ac:dyDescent="0.3">
      <c r="B144" s="119" t="s">
        <v>271</v>
      </c>
      <c r="C144" s="26" t="s">
        <v>283</v>
      </c>
      <c r="D144" s="26">
        <v>4350</v>
      </c>
      <c r="E144" s="25" t="s">
        <v>281</v>
      </c>
      <c r="F144" s="26">
        <v>41</v>
      </c>
      <c r="G144" s="26">
        <v>2</v>
      </c>
      <c r="H144" s="26">
        <v>178350</v>
      </c>
      <c r="I144" s="26">
        <v>8700</v>
      </c>
      <c r="J144" s="27">
        <v>43607</v>
      </c>
      <c r="K144" s="120" t="s">
        <v>488</v>
      </c>
    </row>
    <row r="145" spans="2:11" ht="15.6" x14ac:dyDescent="0.3">
      <c r="B145" s="117" t="s">
        <v>268</v>
      </c>
      <c r="C145" s="28" t="s">
        <v>292</v>
      </c>
      <c r="D145" s="28">
        <v>3750</v>
      </c>
      <c r="E145" s="24" t="s">
        <v>273</v>
      </c>
      <c r="F145" s="28">
        <v>40</v>
      </c>
      <c r="G145" s="28">
        <v>0</v>
      </c>
      <c r="H145" s="28">
        <v>150000</v>
      </c>
      <c r="I145" s="28">
        <v>0</v>
      </c>
      <c r="J145" s="29">
        <v>43607</v>
      </c>
      <c r="K145" s="121" t="s">
        <v>680</v>
      </c>
    </row>
    <row r="146" spans="2:11" ht="15.6" x14ac:dyDescent="0.3">
      <c r="B146" s="119" t="s">
        <v>282</v>
      </c>
      <c r="C146" s="26" t="s">
        <v>275</v>
      </c>
      <c r="D146" s="26">
        <v>3200</v>
      </c>
      <c r="E146" s="25" t="s">
        <v>276</v>
      </c>
      <c r="F146" s="26">
        <v>47</v>
      </c>
      <c r="G146" s="26">
        <v>0</v>
      </c>
      <c r="H146" s="26">
        <v>150400</v>
      </c>
      <c r="I146" s="26">
        <v>0</v>
      </c>
      <c r="J146" s="27">
        <v>43607</v>
      </c>
      <c r="K146" s="120" t="s">
        <v>498</v>
      </c>
    </row>
    <row r="147" spans="2:11" ht="15.6" x14ac:dyDescent="0.3">
      <c r="B147" s="117" t="s">
        <v>288</v>
      </c>
      <c r="C147" s="28" t="s">
        <v>284</v>
      </c>
      <c r="D147" s="28">
        <v>3350</v>
      </c>
      <c r="E147" s="24" t="s">
        <v>276</v>
      </c>
      <c r="F147" s="28">
        <v>38</v>
      </c>
      <c r="G147" s="28">
        <v>3</v>
      </c>
      <c r="H147" s="28">
        <v>127300</v>
      </c>
      <c r="I147" s="28">
        <v>10050</v>
      </c>
      <c r="J147" s="29">
        <v>43609</v>
      </c>
      <c r="K147" s="121" t="s">
        <v>666</v>
      </c>
    </row>
    <row r="148" spans="2:11" ht="15.6" x14ac:dyDescent="0.3">
      <c r="B148" s="119" t="s">
        <v>282</v>
      </c>
      <c r="C148" s="26" t="s">
        <v>275</v>
      </c>
      <c r="D148" s="26">
        <v>1400</v>
      </c>
      <c r="E148" s="25" t="s">
        <v>286</v>
      </c>
      <c r="F148" s="26">
        <v>46</v>
      </c>
      <c r="G148" s="26">
        <v>4</v>
      </c>
      <c r="H148" s="26">
        <v>64400</v>
      </c>
      <c r="I148" s="26">
        <v>5600</v>
      </c>
      <c r="J148" s="27">
        <v>43610</v>
      </c>
      <c r="K148" s="120" t="s">
        <v>498</v>
      </c>
    </row>
    <row r="149" spans="2:11" ht="15.6" x14ac:dyDescent="0.3">
      <c r="B149" s="117" t="s">
        <v>282</v>
      </c>
      <c r="C149" s="28" t="s">
        <v>275</v>
      </c>
      <c r="D149" s="28">
        <v>3200</v>
      </c>
      <c r="E149" s="24" t="s">
        <v>286</v>
      </c>
      <c r="F149" s="28">
        <v>50</v>
      </c>
      <c r="G149" s="28">
        <v>4</v>
      </c>
      <c r="H149" s="28">
        <v>160000</v>
      </c>
      <c r="I149" s="28">
        <v>12800</v>
      </c>
      <c r="J149" s="29">
        <v>43612</v>
      </c>
      <c r="K149" s="121" t="s">
        <v>498</v>
      </c>
    </row>
    <row r="150" spans="2:11" ht="15.6" x14ac:dyDescent="0.3">
      <c r="B150" s="119" t="s">
        <v>291</v>
      </c>
      <c r="C150" s="26" t="s">
        <v>283</v>
      </c>
      <c r="D150" s="26">
        <v>4590</v>
      </c>
      <c r="E150" s="25" t="s">
        <v>270</v>
      </c>
      <c r="F150" s="26">
        <v>28</v>
      </c>
      <c r="G150" s="26">
        <v>2</v>
      </c>
      <c r="H150" s="26">
        <v>128520</v>
      </c>
      <c r="I150" s="26">
        <v>9180</v>
      </c>
      <c r="J150" s="27">
        <v>43613</v>
      </c>
      <c r="K150" s="120" t="s">
        <v>666</v>
      </c>
    </row>
    <row r="151" spans="2:11" ht="15.6" x14ac:dyDescent="0.3">
      <c r="B151" s="117" t="s">
        <v>290</v>
      </c>
      <c r="C151" s="28" t="s">
        <v>285</v>
      </c>
      <c r="D151" s="28">
        <v>1200</v>
      </c>
      <c r="E151" s="24" t="s">
        <v>276</v>
      </c>
      <c r="F151" s="28">
        <v>33</v>
      </c>
      <c r="G151" s="28">
        <v>3</v>
      </c>
      <c r="H151" s="28">
        <v>39600</v>
      </c>
      <c r="I151" s="28">
        <v>3600</v>
      </c>
      <c r="J151" s="29">
        <v>43614</v>
      </c>
      <c r="K151" s="121" t="s">
        <v>666</v>
      </c>
    </row>
    <row r="152" spans="2:11" ht="15.6" x14ac:dyDescent="0.3">
      <c r="B152" s="119" t="s">
        <v>288</v>
      </c>
      <c r="C152" s="26" t="s">
        <v>277</v>
      </c>
      <c r="D152" s="26">
        <v>2920</v>
      </c>
      <c r="E152" s="25" t="s">
        <v>281</v>
      </c>
      <c r="F152" s="26">
        <v>21</v>
      </c>
      <c r="G152" s="26">
        <v>1</v>
      </c>
      <c r="H152" s="26">
        <v>61320</v>
      </c>
      <c r="I152" s="26">
        <v>2920</v>
      </c>
      <c r="J152" s="27">
        <v>43616</v>
      </c>
      <c r="K152" s="120" t="s">
        <v>666</v>
      </c>
    </row>
    <row r="153" spans="2:11" ht="15.6" x14ac:dyDescent="0.3">
      <c r="B153" s="117" t="s">
        <v>268</v>
      </c>
      <c r="C153" s="28" t="s">
        <v>295</v>
      </c>
      <c r="D153" s="28">
        <v>4550</v>
      </c>
      <c r="E153" s="24" t="s">
        <v>276</v>
      </c>
      <c r="F153" s="28">
        <v>10</v>
      </c>
      <c r="G153" s="28">
        <v>1</v>
      </c>
      <c r="H153" s="28">
        <v>45500</v>
      </c>
      <c r="I153" s="28">
        <v>4550</v>
      </c>
      <c r="J153" s="29">
        <v>43617</v>
      </c>
      <c r="K153" s="121" t="s">
        <v>680</v>
      </c>
    </row>
    <row r="154" spans="2:11" ht="15.6" x14ac:dyDescent="0.3">
      <c r="B154" s="119" t="s">
        <v>274</v>
      </c>
      <c r="C154" s="26" t="s">
        <v>289</v>
      </c>
      <c r="D154" s="26">
        <v>1150</v>
      </c>
      <c r="E154" s="25" t="s">
        <v>270</v>
      </c>
      <c r="F154" s="26">
        <v>13</v>
      </c>
      <c r="G154" s="26">
        <v>0</v>
      </c>
      <c r="H154" s="26">
        <v>14950</v>
      </c>
      <c r="I154" s="26">
        <v>0</v>
      </c>
      <c r="J154" s="27">
        <v>43620</v>
      </c>
      <c r="K154" s="120" t="s">
        <v>488</v>
      </c>
    </row>
    <row r="155" spans="2:11" ht="15.6" x14ac:dyDescent="0.3">
      <c r="B155" s="117" t="s">
        <v>293</v>
      </c>
      <c r="C155" s="28" t="s">
        <v>283</v>
      </c>
      <c r="D155" s="28">
        <v>1400</v>
      </c>
      <c r="E155" s="24" t="s">
        <v>273</v>
      </c>
      <c r="F155" s="28">
        <v>39</v>
      </c>
      <c r="G155" s="28">
        <v>1</v>
      </c>
      <c r="H155" s="28">
        <v>54600</v>
      </c>
      <c r="I155" s="28">
        <v>1400</v>
      </c>
      <c r="J155" s="29">
        <v>43621</v>
      </c>
      <c r="K155" s="121" t="s">
        <v>497</v>
      </c>
    </row>
    <row r="156" spans="2:11" ht="15.6" x14ac:dyDescent="0.3">
      <c r="B156" s="119" t="s">
        <v>268</v>
      </c>
      <c r="C156" s="26" t="s">
        <v>272</v>
      </c>
      <c r="D156" s="26">
        <v>4700</v>
      </c>
      <c r="E156" s="25" t="s">
        <v>273</v>
      </c>
      <c r="F156" s="26">
        <v>43</v>
      </c>
      <c r="G156" s="26">
        <v>0</v>
      </c>
      <c r="H156" s="26">
        <v>202100</v>
      </c>
      <c r="I156" s="26">
        <v>0</v>
      </c>
      <c r="J156" s="27">
        <v>43624</v>
      </c>
      <c r="K156" s="120" t="s">
        <v>680</v>
      </c>
    </row>
    <row r="157" spans="2:11" ht="15.6" x14ac:dyDescent="0.3">
      <c r="B157" s="117" t="s">
        <v>293</v>
      </c>
      <c r="C157" s="28" t="s">
        <v>289</v>
      </c>
      <c r="D157" s="28">
        <v>2100</v>
      </c>
      <c r="E157" s="24" t="s">
        <v>286</v>
      </c>
      <c r="F157" s="28">
        <v>18</v>
      </c>
      <c r="G157" s="28">
        <v>4</v>
      </c>
      <c r="H157" s="28">
        <v>37800</v>
      </c>
      <c r="I157" s="28">
        <v>8400</v>
      </c>
      <c r="J157" s="29">
        <v>43627</v>
      </c>
      <c r="K157" s="121" t="s">
        <v>497</v>
      </c>
    </row>
    <row r="158" spans="2:11" ht="15.6" x14ac:dyDescent="0.3">
      <c r="B158" s="119" t="s">
        <v>291</v>
      </c>
      <c r="C158" s="26" t="s">
        <v>289</v>
      </c>
      <c r="D158" s="26">
        <v>4550</v>
      </c>
      <c r="E158" s="25" t="s">
        <v>281</v>
      </c>
      <c r="F158" s="26">
        <v>19</v>
      </c>
      <c r="G158" s="26">
        <v>3</v>
      </c>
      <c r="H158" s="26">
        <v>86450</v>
      </c>
      <c r="I158" s="26">
        <v>13650</v>
      </c>
      <c r="J158" s="27">
        <v>43628</v>
      </c>
      <c r="K158" s="120" t="s">
        <v>666</v>
      </c>
    </row>
    <row r="159" spans="2:11" ht="15.6" x14ac:dyDescent="0.3">
      <c r="B159" s="117" t="s">
        <v>278</v>
      </c>
      <c r="C159" s="28" t="s">
        <v>280</v>
      </c>
      <c r="D159" s="28">
        <v>2540</v>
      </c>
      <c r="E159" s="24" t="s">
        <v>287</v>
      </c>
      <c r="F159" s="28">
        <v>32</v>
      </c>
      <c r="G159" s="28">
        <v>4</v>
      </c>
      <c r="H159" s="28">
        <v>81280</v>
      </c>
      <c r="I159" s="28">
        <v>10160</v>
      </c>
      <c r="J159" s="29">
        <v>43629</v>
      </c>
      <c r="K159" s="121" t="s">
        <v>680</v>
      </c>
    </row>
    <row r="160" spans="2:11" ht="15.6" x14ac:dyDescent="0.3">
      <c r="B160" s="119" t="s">
        <v>278</v>
      </c>
      <c r="C160" s="26" t="s">
        <v>280</v>
      </c>
      <c r="D160" s="26">
        <v>2600</v>
      </c>
      <c r="E160" s="25" t="s">
        <v>286</v>
      </c>
      <c r="F160" s="26">
        <v>17</v>
      </c>
      <c r="G160" s="26">
        <v>2</v>
      </c>
      <c r="H160" s="26">
        <v>44200</v>
      </c>
      <c r="I160" s="26">
        <v>5200</v>
      </c>
      <c r="J160" s="27">
        <v>43629</v>
      </c>
      <c r="K160" s="120" t="s">
        <v>680</v>
      </c>
    </row>
    <row r="161" spans="2:11" ht="15.6" x14ac:dyDescent="0.3">
      <c r="B161" s="117" t="s">
        <v>291</v>
      </c>
      <c r="C161" s="28" t="s">
        <v>277</v>
      </c>
      <c r="D161" s="28">
        <v>10500</v>
      </c>
      <c r="E161" s="24" t="s">
        <v>287</v>
      </c>
      <c r="F161" s="28">
        <v>49</v>
      </c>
      <c r="G161" s="28">
        <v>0</v>
      </c>
      <c r="H161" s="28">
        <v>514500</v>
      </c>
      <c r="I161" s="28">
        <v>0</v>
      </c>
      <c r="J161" s="29">
        <v>43630</v>
      </c>
      <c r="K161" s="121" t="s">
        <v>666</v>
      </c>
    </row>
    <row r="162" spans="2:11" ht="15.6" x14ac:dyDescent="0.3">
      <c r="B162" s="119" t="s">
        <v>293</v>
      </c>
      <c r="C162" s="26" t="s">
        <v>277</v>
      </c>
      <c r="D162" s="26">
        <v>1200</v>
      </c>
      <c r="E162" s="25" t="s">
        <v>276</v>
      </c>
      <c r="F162" s="26">
        <v>46</v>
      </c>
      <c r="G162" s="26">
        <v>2</v>
      </c>
      <c r="H162" s="26">
        <v>55200</v>
      </c>
      <c r="I162" s="26">
        <v>2400</v>
      </c>
      <c r="J162" s="27">
        <v>43630</v>
      </c>
      <c r="K162" s="120" t="s">
        <v>497</v>
      </c>
    </row>
    <row r="163" spans="2:11" ht="15.6" x14ac:dyDescent="0.3">
      <c r="B163" s="117" t="s">
        <v>290</v>
      </c>
      <c r="C163" s="28" t="s">
        <v>280</v>
      </c>
      <c r="D163" s="28">
        <v>1000</v>
      </c>
      <c r="E163" s="24" t="s">
        <v>273</v>
      </c>
      <c r="F163" s="28">
        <v>32</v>
      </c>
      <c r="G163" s="28">
        <v>4</v>
      </c>
      <c r="H163" s="28">
        <v>32000</v>
      </c>
      <c r="I163" s="28">
        <v>4000</v>
      </c>
      <c r="J163" s="29">
        <v>43631</v>
      </c>
      <c r="K163" s="121" t="s">
        <v>666</v>
      </c>
    </row>
    <row r="164" spans="2:11" ht="15.6" x14ac:dyDescent="0.3">
      <c r="B164" s="119" t="s">
        <v>279</v>
      </c>
      <c r="C164" s="26" t="s">
        <v>289</v>
      </c>
      <c r="D164" s="26">
        <v>1800</v>
      </c>
      <c r="E164" s="25" t="s">
        <v>281</v>
      </c>
      <c r="F164" s="26">
        <v>44</v>
      </c>
      <c r="G164" s="26">
        <v>0</v>
      </c>
      <c r="H164" s="26">
        <v>79200</v>
      </c>
      <c r="I164" s="26">
        <v>0</v>
      </c>
      <c r="J164" s="27">
        <v>43631</v>
      </c>
      <c r="K164" s="120" t="s">
        <v>687</v>
      </c>
    </row>
    <row r="165" spans="2:11" ht="15.6" x14ac:dyDescent="0.3">
      <c r="B165" s="117" t="s">
        <v>288</v>
      </c>
      <c r="C165" s="28" t="s">
        <v>277</v>
      </c>
      <c r="D165" s="28">
        <v>2850</v>
      </c>
      <c r="E165" s="24" t="s">
        <v>286</v>
      </c>
      <c r="F165" s="28">
        <v>21</v>
      </c>
      <c r="G165" s="28">
        <v>3</v>
      </c>
      <c r="H165" s="28">
        <v>59850</v>
      </c>
      <c r="I165" s="28">
        <v>8550</v>
      </c>
      <c r="J165" s="29">
        <v>43633</v>
      </c>
      <c r="K165" s="121" t="s">
        <v>666</v>
      </c>
    </row>
    <row r="166" spans="2:11" ht="15.6" x14ac:dyDescent="0.3">
      <c r="B166" s="119" t="s">
        <v>278</v>
      </c>
      <c r="C166" s="26" t="s">
        <v>277</v>
      </c>
      <c r="D166" s="26">
        <v>2500</v>
      </c>
      <c r="E166" s="25" t="s">
        <v>281</v>
      </c>
      <c r="F166" s="26">
        <v>49</v>
      </c>
      <c r="G166" s="26">
        <v>3</v>
      </c>
      <c r="H166" s="26">
        <v>122500</v>
      </c>
      <c r="I166" s="26">
        <v>7500</v>
      </c>
      <c r="J166" s="27">
        <v>43634</v>
      </c>
      <c r="K166" s="120" t="s">
        <v>680</v>
      </c>
    </row>
    <row r="167" spans="2:11" ht="15.6" x14ac:dyDescent="0.3">
      <c r="B167" s="117" t="s">
        <v>282</v>
      </c>
      <c r="C167" s="28" t="s">
        <v>280</v>
      </c>
      <c r="D167" s="28">
        <v>2570</v>
      </c>
      <c r="E167" s="24" t="s">
        <v>270</v>
      </c>
      <c r="F167" s="28">
        <v>23</v>
      </c>
      <c r="G167" s="28">
        <v>3</v>
      </c>
      <c r="H167" s="28">
        <v>59110</v>
      </c>
      <c r="I167" s="28">
        <v>7710</v>
      </c>
      <c r="J167" s="29">
        <v>43634</v>
      </c>
      <c r="K167" s="121" t="s">
        <v>498</v>
      </c>
    </row>
    <row r="168" spans="2:11" ht="15.6" x14ac:dyDescent="0.3">
      <c r="B168" s="119" t="s">
        <v>282</v>
      </c>
      <c r="C168" s="26" t="s">
        <v>283</v>
      </c>
      <c r="D168" s="26">
        <v>2400</v>
      </c>
      <c r="E168" s="25" t="s">
        <v>286</v>
      </c>
      <c r="F168" s="26">
        <v>22</v>
      </c>
      <c r="G168" s="26">
        <v>2</v>
      </c>
      <c r="H168" s="26">
        <v>52800</v>
      </c>
      <c r="I168" s="26">
        <v>4800</v>
      </c>
      <c r="J168" s="27">
        <v>43635</v>
      </c>
      <c r="K168" s="120" t="s">
        <v>498</v>
      </c>
    </row>
    <row r="169" spans="2:11" ht="15.6" x14ac:dyDescent="0.3">
      <c r="B169" s="117" t="s">
        <v>271</v>
      </c>
      <c r="C169" s="28" t="s">
        <v>277</v>
      </c>
      <c r="D169" s="28">
        <v>4050</v>
      </c>
      <c r="E169" s="24" t="s">
        <v>281</v>
      </c>
      <c r="F169" s="28">
        <v>17</v>
      </c>
      <c r="G169" s="28">
        <v>0</v>
      </c>
      <c r="H169" s="28">
        <v>68850</v>
      </c>
      <c r="I169" s="28">
        <v>0</v>
      </c>
      <c r="J169" s="29">
        <v>43636</v>
      </c>
      <c r="K169" s="121" t="s">
        <v>488</v>
      </c>
    </row>
    <row r="170" spans="2:11" ht="15.6" x14ac:dyDescent="0.3">
      <c r="B170" s="119" t="s">
        <v>268</v>
      </c>
      <c r="C170" s="26" t="s">
        <v>269</v>
      </c>
      <c r="D170" s="26">
        <v>2800</v>
      </c>
      <c r="E170" s="25" t="s">
        <v>281</v>
      </c>
      <c r="F170" s="26">
        <v>46</v>
      </c>
      <c r="G170" s="26">
        <v>3</v>
      </c>
      <c r="H170" s="26">
        <v>128800</v>
      </c>
      <c r="I170" s="26">
        <v>8400</v>
      </c>
      <c r="J170" s="27">
        <v>43636</v>
      </c>
      <c r="K170" s="120" t="s">
        <v>680</v>
      </c>
    </row>
    <row r="171" spans="2:11" ht="15.6" x14ac:dyDescent="0.3">
      <c r="B171" s="117" t="s">
        <v>282</v>
      </c>
      <c r="C171" s="28" t="s">
        <v>277</v>
      </c>
      <c r="D171" s="28">
        <v>3300</v>
      </c>
      <c r="E171" s="24" t="s">
        <v>281</v>
      </c>
      <c r="F171" s="28">
        <v>34</v>
      </c>
      <c r="G171" s="28">
        <v>1</v>
      </c>
      <c r="H171" s="28">
        <v>112200</v>
      </c>
      <c r="I171" s="28">
        <v>3300</v>
      </c>
      <c r="J171" s="29">
        <v>43636</v>
      </c>
      <c r="K171" s="121" t="s">
        <v>498</v>
      </c>
    </row>
    <row r="172" spans="2:11" ht="15.6" x14ac:dyDescent="0.3">
      <c r="B172" s="119" t="s">
        <v>293</v>
      </c>
      <c r="C172" s="26" t="s">
        <v>275</v>
      </c>
      <c r="D172" s="26">
        <v>1300</v>
      </c>
      <c r="E172" s="25" t="s">
        <v>276</v>
      </c>
      <c r="F172" s="26">
        <v>17</v>
      </c>
      <c r="G172" s="26">
        <v>2</v>
      </c>
      <c r="H172" s="26">
        <v>22100</v>
      </c>
      <c r="I172" s="26">
        <v>2600</v>
      </c>
      <c r="J172" s="27">
        <v>43636</v>
      </c>
      <c r="K172" s="120" t="s">
        <v>497</v>
      </c>
    </row>
    <row r="173" spans="2:11" ht="15.6" x14ac:dyDescent="0.3">
      <c r="B173" s="117" t="s">
        <v>274</v>
      </c>
      <c r="C173" s="28" t="s">
        <v>283</v>
      </c>
      <c r="D173" s="28">
        <v>1560</v>
      </c>
      <c r="E173" s="24" t="s">
        <v>270</v>
      </c>
      <c r="F173" s="28">
        <v>25</v>
      </c>
      <c r="G173" s="28">
        <v>3</v>
      </c>
      <c r="H173" s="28">
        <v>39000</v>
      </c>
      <c r="I173" s="28">
        <v>4680</v>
      </c>
      <c r="J173" s="29">
        <v>43639</v>
      </c>
      <c r="K173" s="121" t="s">
        <v>488</v>
      </c>
    </row>
    <row r="174" spans="2:11" ht="15.6" x14ac:dyDescent="0.3">
      <c r="B174" s="119" t="s">
        <v>278</v>
      </c>
      <c r="C174" s="26" t="s">
        <v>277</v>
      </c>
      <c r="D174" s="26">
        <v>2560</v>
      </c>
      <c r="E174" s="25" t="s">
        <v>287</v>
      </c>
      <c r="F174" s="26">
        <v>28</v>
      </c>
      <c r="G174" s="26">
        <v>1</v>
      </c>
      <c r="H174" s="26">
        <v>71680</v>
      </c>
      <c r="I174" s="26">
        <v>2560</v>
      </c>
      <c r="J174" s="27">
        <v>43639</v>
      </c>
      <c r="K174" s="120" t="s">
        <v>680</v>
      </c>
    </row>
    <row r="175" spans="2:11" ht="15.6" x14ac:dyDescent="0.3">
      <c r="B175" s="117" t="s">
        <v>288</v>
      </c>
      <c r="C175" s="28" t="s">
        <v>289</v>
      </c>
      <c r="D175" s="28">
        <v>4500</v>
      </c>
      <c r="E175" s="24" t="s">
        <v>281</v>
      </c>
      <c r="F175" s="28">
        <v>10</v>
      </c>
      <c r="G175" s="28">
        <v>0</v>
      </c>
      <c r="H175" s="28">
        <v>45000</v>
      </c>
      <c r="I175" s="28">
        <v>0</v>
      </c>
      <c r="J175" s="29">
        <v>43640</v>
      </c>
      <c r="K175" s="121" t="s">
        <v>666</v>
      </c>
    </row>
    <row r="176" spans="2:11" ht="15.6" x14ac:dyDescent="0.3">
      <c r="B176" s="119" t="s">
        <v>291</v>
      </c>
      <c r="C176" s="26" t="s">
        <v>283</v>
      </c>
      <c r="D176" s="26">
        <v>4590</v>
      </c>
      <c r="E176" s="25" t="s">
        <v>273</v>
      </c>
      <c r="F176" s="26">
        <v>29</v>
      </c>
      <c r="G176" s="26">
        <v>4</v>
      </c>
      <c r="H176" s="26">
        <v>133110</v>
      </c>
      <c r="I176" s="26">
        <v>18360</v>
      </c>
      <c r="J176" s="27">
        <v>43644</v>
      </c>
      <c r="K176" s="120" t="s">
        <v>666</v>
      </c>
    </row>
    <row r="177" spans="2:11" ht="15.6" x14ac:dyDescent="0.3">
      <c r="B177" s="117" t="s">
        <v>279</v>
      </c>
      <c r="C177" s="28" t="s">
        <v>280</v>
      </c>
      <c r="D177" s="28">
        <v>1100</v>
      </c>
      <c r="E177" s="24" t="s">
        <v>287</v>
      </c>
      <c r="F177" s="28">
        <v>38</v>
      </c>
      <c r="G177" s="28">
        <v>4</v>
      </c>
      <c r="H177" s="28">
        <v>41800</v>
      </c>
      <c r="I177" s="28">
        <v>4400</v>
      </c>
      <c r="J177" s="29">
        <v>43644</v>
      </c>
      <c r="K177" s="121" t="s">
        <v>687</v>
      </c>
    </row>
    <row r="178" spans="2:11" ht="15.6" x14ac:dyDescent="0.3">
      <c r="B178" s="119" t="s">
        <v>271</v>
      </c>
      <c r="C178" s="26" t="s">
        <v>283</v>
      </c>
      <c r="D178" s="26">
        <v>4350</v>
      </c>
      <c r="E178" s="25" t="s">
        <v>287</v>
      </c>
      <c r="F178" s="26">
        <v>16</v>
      </c>
      <c r="G178" s="26">
        <v>4</v>
      </c>
      <c r="H178" s="26">
        <v>69600</v>
      </c>
      <c r="I178" s="26">
        <v>17400</v>
      </c>
      <c r="J178" s="27">
        <v>43646</v>
      </c>
      <c r="K178" s="120" t="s">
        <v>488</v>
      </c>
    </row>
    <row r="179" spans="2:11" ht="15.6" x14ac:dyDescent="0.3">
      <c r="B179" s="117" t="s">
        <v>279</v>
      </c>
      <c r="C179" s="28" t="s">
        <v>280</v>
      </c>
      <c r="D179" s="28">
        <v>1000</v>
      </c>
      <c r="E179" s="24" t="s">
        <v>276</v>
      </c>
      <c r="F179" s="28">
        <v>37</v>
      </c>
      <c r="G179" s="28">
        <v>2</v>
      </c>
      <c r="H179" s="28">
        <v>37000</v>
      </c>
      <c r="I179" s="28">
        <v>2000</v>
      </c>
      <c r="J179" s="29">
        <v>43648</v>
      </c>
      <c r="K179" s="121" t="s">
        <v>687</v>
      </c>
    </row>
    <row r="180" spans="2:11" ht="15.6" x14ac:dyDescent="0.3">
      <c r="B180" s="119" t="s">
        <v>291</v>
      </c>
      <c r="C180" s="26" t="s">
        <v>277</v>
      </c>
      <c r="D180" s="26">
        <v>10010</v>
      </c>
      <c r="E180" s="25" t="s">
        <v>270</v>
      </c>
      <c r="F180" s="26">
        <v>14</v>
      </c>
      <c r="G180" s="26">
        <v>3</v>
      </c>
      <c r="H180" s="26">
        <v>140140</v>
      </c>
      <c r="I180" s="26">
        <v>30030</v>
      </c>
      <c r="J180" s="27">
        <v>43650</v>
      </c>
      <c r="K180" s="120" t="s">
        <v>666</v>
      </c>
    </row>
    <row r="181" spans="2:11" ht="15.6" x14ac:dyDescent="0.3">
      <c r="B181" s="117" t="s">
        <v>271</v>
      </c>
      <c r="C181" s="28" t="s">
        <v>272</v>
      </c>
      <c r="D181" s="28">
        <v>3900</v>
      </c>
      <c r="E181" s="24" t="s">
        <v>276</v>
      </c>
      <c r="F181" s="28">
        <v>36</v>
      </c>
      <c r="G181" s="28">
        <v>1</v>
      </c>
      <c r="H181" s="28">
        <v>140400</v>
      </c>
      <c r="I181" s="28">
        <v>3900</v>
      </c>
      <c r="J181" s="29">
        <v>43650</v>
      </c>
      <c r="K181" s="121" t="s">
        <v>488</v>
      </c>
    </row>
    <row r="182" spans="2:11" ht="15.6" x14ac:dyDescent="0.3">
      <c r="B182" s="119" t="s">
        <v>290</v>
      </c>
      <c r="C182" s="26" t="s">
        <v>280</v>
      </c>
      <c r="D182" s="26">
        <v>800</v>
      </c>
      <c r="E182" s="25" t="s">
        <v>286</v>
      </c>
      <c r="F182" s="26">
        <v>12</v>
      </c>
      <c r="G182" s="26">
        <v>2</v>
      </c>
      <c r="H182" s="26">
        <v>9600</v>
      </c>
      <c r="I182" s="26">
        <v>1600</v>
      </c>
      <c r="J182" s="27">
        <v>43651</v>
      </c>
      <c r="K182" s="120" t="s">
        <v>666</v>
      </c>
    </row>
    <row r="183" spans="2:11" ht="15.6" x14ac:dyDescent="0.3">
      <c r="B183" s="117" t="s">
        <v>293</v>
      </c>
      <c r="C183" s="28" t="s">
        <v>285</v>
      </c>
      <c r="D183" s="28">
        <v>1700</v>
      </c>
      <c r="E183" s="24" t="s">
        <v>270</v>
      </c>
      <c r="F183" s="28">
        <v>16</v>
      </c>
      <c r="G183" s="28">
        <v>2</v>
      </c>
      <c r="H183" s="28">
        <v>27200</v>
      </c>
      <c r="I183" s="28">
        <v>3400</v>
      </c>
      <c r="J183" s="29">
        <v>43653</v>
      </c>
      <c r="K183" s="121" t="s">
        <v>497</v>
      </c>
    </row>
    <row r="184" spans="2:11" ht="15.6" x14ac:dyDescent="0.3">
      <c r="B184" s="119" t="s">
        <v>282</v>
      </c>
      <c r="C184" s="26" t="s">
        <v>285</v>
      </c>
      <c r="D184" s="26">
        <v>1990</v>
      </c>
      <c r="E184" s="25" t="s">
        <v>287</v>
      </c>
      <c r="F184" s="26">
        <v>38</v>
      </c>
      <c r="G184" s="26">
        <v>3</v>
      </c>
      <c r="H184" s="26">
        <v>75620</v>
      </c>
      <c r="I184" s="26">
        <v>5970</v>
      </c>
      <c r="J184" s="27">
        <v>43654</v>
      </c>
      <c r="K184" s="120" t="s">
        <v>498</v>
      </c>
    </row>
    <row r="185" spans="2:11" ht="15.6" x14ac:dyDescent="0.3">
      <c r="B185" s="117" t="s">
        <v>288</v>
      </c>
      <c r="C185" s="28" t="s">
        <v>277</v>
      </c>
      <c r="D185" s="28">
        <v>2950</v>
      </c>
      <c r="E185" s="24" t="s">
        <v>276</v>
      </c>
      <c r="F185" s="28">
        <v>38</v>
      </c>
      <c r="G185" s="28">
        <v>0</v>
      </c>
      <c r="H185" s="28">
        <v>112100</v>
      </c>
      <c r="I185" s="28">
        <v>0</v>
      </c>
      <c r="J185" s="29">
        <v>43655</v>
      </c>
      <c r="K185" s="121" t="s">
        <v>666</v>
      </c>
    </row>
    <row r="186" spans="2:11" ht="15.6" x14ac:dyDescent="0.3">
      <c r="B186" s="119" t="s">
        <v>282</v>
      </c>
      <c r="C186" s="26" t="s">
        <v>283</v>
      </c>
      <c r="D186" s="26">
        <v>2360</v>
      </c>
      <c r="E186" s="25" t="s">
        <v>287</v>
      </c>
      <c r="F186" s="26">
        <v>25</v>
      </c>
      <c r="G186" s="26">
        <v>2</v>
      </c>
      <c r="H186" s="26">
        <v>59000</v>
      </c>
      <c r="I186" s="26">
        <v>4720</v>
      </c>
      <c r="J186" s="27">
        <v>43657</v>
      </c>
      <c r="K186" s="120" t="s">
        <v>498</v>
      </c>
    </row>
    <row r="187" spans="2:11" ht="15.6" x14ac:dyDescent="0.3">
      <c r="B187" s="117" t="s">
        <v>271</v>
      </c>
      <c r="C187" s="28" t="s">
        <v>280</v>
      </c>
      <c r="D187" s="28">
        <v>2850</v>
      </c>
      <c r="E187" s="24" t="s">
        <v>276</v>
      </c>
      <c r="F187" s="28">
        <v>19</v>
      </c>
      <c r="G187" s="28">
        <v>1</v>
      </c>
      <c r="H187" s="28">
        <v>54150</v>
      </c>
      <c r="I187" s="28">
        <v>2850</v>
      </c>
      <c r="J187" s="29">
        <v>43659</v>
      </c>
      <c r="K187" s="121" t="s">
        <v>488</v>
      </c>
    </row>
    <row r="188" spans="2:11" ht="15.6" x14ac:dyDescent="0.3">
      <c r="B188" s="119" t="s">
        <v>274</v>
      </c>
      <c r="C188" s="26" t="s">
        <v>285</v>
      </c>
      <c r="D188" s="26">
        <v>2000</v>
      </c>
      <c r="E188" s="25" t="s">
        <v>281</v>
      </c>
      <c r="F188" s="26">
        <v>14</v>
      </c>
      <c r="G188" s="26">
        <v>4</v>
      </c>
      <c r="H188" s="26">
        <v>28000</v>
      </c>
      <c r="I188" s="26">
        <v>8000</v>
      </c>
      <c r="J188" s="27">
        <v>43660</v>
      </c>
      <c r="K188" s="120" t="s">
        <v>488</v>
      </c>
    </row>
    <row r="189" spans="2:11" ht="15.6" x14ac:dyDescent="0.3">
      <c r="B189" s="117" t="s">
        <v>291</v>
      </c>
      <c r="C189" s="28" t="s">
        <v>283</v>
      </c>
      <c r="D189" s="28">
        <v>4600</v>
      </c>
      <c r="E189" s="24" t="s">
        <v>276</v>
      </c>
      <c r="F189" s="28">
        <v>46</v>
      </c>
      <c r="G189" s="28">
        <v>1</v>
      </c>
      <c r="H189" s="28">
        <v>211600</v>
      </c>
      <c r="I189" s="28">
        <v>4600</v>
      </c>
      <c r="J189" s="29">
        <v>43664</v>
      </c>
      <c r="K189" s="121" t="s">
        <v>666</v>
      </c>
    </row>
    <row r="190" spans="2:11" ht="15.6" x14ac:dyDescent="0.3">
      <c r="B190" s="119" t="s">
        <v>279</v>
      </c>
      <c r="C190" s="26" t="s">
        <v>275</v>
      </c>
      <c r="D190" s="26">
        <v>900</v>
      </c>
      <c r="E190" s="25" t="s">
        <v>273</v>
      </c>
      <c r="F190" s="26">
        <v>39</v>
      </c>
      <c r="G190" s="26">
        <v>4</v>
      </c>
      <c r="H190" s="26">
        <v>35100</v>
      </c>
      <c r="I190" s="26">
        <v>3600</v>
      </c>
      <c r="J190" s="27">
        <v>43667</v>
      </c>
      <c r="K190" s="120" t="s">
        <v>687</v>
      </c>
    </row>
    <row r="191" spans="2:11" ht="15.6" x14ac:dyDescent="0.3">
      <c r="B191" s="117" t="s">
        <v>279</v>
      </c>
      <c r="C191" s="28" t="s">
        <v>275</v>
      </c>
      <c r="D191" s="28">
        <v>1000</v>
      </c>
      <c r="E191" s="24" t="s">
        <v>276</v>
      </c>
      <c r="F191" s="28">
        <v>42</v>
      </c>
      <c r="G191" s="28">
        <v>1</v>
      </c>
      <c r="H191" s="28">
        <v>42000</v>
      </c>
      <c r="I191" s="28">
        <v>1000</v>
      </c>
      <c r="J191" s="29">
        <v>43668</v>
      </c>
      <c r="K191" s="121" t="s">
        <v>687</v>
      </c>
    </row>
    <row r="192" spans="2:11" ht="15.6" x14ac:dyDescent="0.3">
      <c r="B192" s="119" t="s">
        <v>274</v>
      </c>
      <c r="C192" s="26" t="s">
        <v>283</v>
      </c>
      <c r="D192" s="26">
        <v>1560</v>
      </c>
      <c r="E192" s="25" t="s">
        <v>273</v>
      </c>
      <c r="F192" s="26">
        <v>40</v>
      </c>
      <c r="G192" s="26">
        <v>4</v>
      </c>
      <c r="H192" s="26">
        <v>62400</v>
      </c>
      <c r="I192" s="26">
        <v>6240</v>
      </c>
      <c r="J192" s="27">
        <v>43671</v>
      </c>
      <c r="K192" s="120" t="s">
        <v>488</v>
      </c>
    </row>
    <row r="193" spans="2:11" ht="15.6" x14ac:dyDescent="0.3">
      <c r="B193" s="117" t="s">
        <v>271</v>
      </c>
      <c r="C193" s="28" t="s">
        <v>275</v>
      </c>
      <c r="D193" s="28">
        <v>4210</v>
      </c>
      <c r="E193" s="24" t="s">
        <v>270</v>
      </c>
      <c r="F193" s="28">
        <v>35</v>
      </c>
      <c r="G193" s="28">
        <v>2</v>
      </c>
      <c r="H193" s="28">
        <v>147350</v>
      </c>
      <c r="I193" s="28">
        <v>8420</v>
      </c>
      <c r="J193" s="29">
        <v>43671</v>
      </c>
      <c r="K193" s="121" t="s">
        <v>488</v>
      </c>
    </row>
    <row r="194" spans="2:11" ht="15.6" x14ac:dyDescent="0.3">
      <c r="B194" s="119" t="s">
        <v>293</v>
      </c>
      <c r="C194" s="26" t="s">
        <v>283</v>
      </c>
      <c r="D194" s="26">
        <v>1400</v>
      </c>
      <c r="E194" s="25" t="s">
        <v>286</v>
      </c>
      <c r="F194" s="26">
        <v>23</v>
      </c>
      <c r="G194" s="26">
        <v>4</v>
      </c>
      <c r="H194" s="26">
        <v>32200</v>
      </c>
      <c r="I194" s="26">
        <v>5600</v>
      </c>
      <c r="J194" s="27">
        <v>43671</v>
      </c>
      <c r="K194" s="120" t="s">
        <v>497</v>
      </c>
    </row>
    <row r="195" spans="2:11" ht="15.6" x14ac:dyDescent="0.3">
      <c r="B195" s="117" t="s">
        <v>274</v>
      </c>
      <c r="C195" s="28" t="s">
        <v>285</v>
      </c>
      <c r="D195" s="28">
        <v>2000</v>
      </c>
      <c r="E195" s="24" t="s">
        <v>276</v>
      </c>
      <c r="F195" s="28">
        <v>40</v>
      </c>
      <c r="G195" s="28">
        <v>3</v>
      </c>
      <c r="H195" s="28">
        <v>80000</v>
      </c>
      <c r="I195" s="28">
        <v>6000</v>
      </c>
      <c r="J195" s="29">
        <v>43672</v>
      </c>
      <c r="K195" s="121" t="s">
        <v>488</v>
      </c>
    </row>
    <row r="196" spans="2:11" ht="15.6" x14ac:dyDescent="0.3">
      <c r="B196" s="119" t="s">
        <v>278</v>
      </c>
      <c r="C196" s="26" t="s">
        <v>277</v>
      </c>
      <c r="D196" s="26">
        <v>2600</v>
      </c>
      <c r="E196" s="25" t="s">
        <v>273</v>
      </c>
      <c r="F196" s="26">
        <v>42</v>
      </c>
      <c r="G196" s="26">
        <v>2</v>
      </c>
      <c r="H196" s="26">
        <v>109200</v>
      </c>
      <c r="I196" s="26">
        <v>5200</v>
      </c>
      <c r="J196" s="27">
        <v>43674</v>
      </c>
      <c r="K196" s="120" t="s">
        <v>680</v>
      </c>
    </row>
    <row r="197" spans="2:11" ht="15.6" x14ac:dyDescent="0.3">
      <c r="B197" s="117" t="s">
        <v>282</v>
      </c>
      <c r="C197" s="28" t="s">
        <v>285</v>
      </c>
      <c r="D197" s="28">
        <v>1950</v>
      </c>
      <c r="E197" s="24" t="s">
        <v>281</v>
      </c>
      <c r="F197" s="28">
        <v>33</v>
      </c>
      <c r="G197" s="28">
        <v>1</v>
      </c>
      <c r="H197" s="28">
        <v>64350</v>
      </c>
      <c r="I197" s="28">
        <v>1950</v>
      </c>
      <c r="J197" s="29">
        <v>43674</v>
      </c>
      <c r="K197" s="121" t="s">
        <v>687</v>
      </c>
    </row>
    <row r="198" spans="2:11" ht="15.6" x14ac:dyDescent="0.3">
      <c r="B198" s="119" t="s">
        <v>288</v>
      </c>
      <c r="C198" s="26" t="s">
        <v>280</v>
      </c>
      <c r="D198" s="26">
        <v>1490</v>
      </c>
      <c r="E198" s="25" t="s">
        <v>273</v>
      </c>
      <c r="F198" s="26">
        <v>49</v>
      </c>
      <c r="G198" s="26">
        <v>1</v>
      </c>
      <c r="H198" s="26">
        <v>73010</v>
      </c>
      <c r="I198" s="26">
        <v>1490</v>
      </c>
      <c r="J198" s="27">
        <v>43675</v>
      </c>
      <c r="K198" s="120" t="s">
        <v>666</v>
      </c>
    </row>
    <row r="199" spans="2:11" ht="15.6" x14ac:dyDescent="0.3">
      <c r="B199" s="117" t="s">
        <v>282</v>
      </c>
      <c r="C199" s="28" t="s">
        <v>277</v>
      </c>
      <c r="D199" s="28">
        <v>3100</v>
      </c>
      <c r="E199" s="24" t="s">
        <v>270</v>
      </c>
      <c r="F199" s="28">
        <v>30</v>
      </c>
      <c r="G199" s="28">
        <v>3</v>
      </c>
      <c r="H199" s="28">
        <v>93000</v>
      </c>
      <c r="I199" s="28">
        <v>9300</v>
      </c>
      <c r="J199" s="29">
        <v>43675</v>
      </c>
      <c r="K199" s="121" t="s">
        <v>687</v>
      </c>
    </row>
    <row r="200" spans="2:11" ht="15.6" x14ac:dyDescent="0.3">
      <c r="B200" s="119" t="s">
        <v>288</v>
      </c>
      <c r="C200" s="26" t="s">
        <v>280</v>
      </c>
      <c r="D200" s="26">
        <v>1500</v>
      </c>
      <c r="E200" s="25" t="s">
        <v>287</v>
      </c>
      <c r="F200" s="26">
        <v>20</v>
      </c>
      <c r="G200" s="26">
        <v>1</v>
      </c>
      <c r="H200" s="26">
        <v>30000</v>
      </c>
      <c r="I200" s="26">
        <v>1500</v>
      </c>
      <c r="J200" s="27">
        <v>43676</v>
      </c>
      <c r="K200" s="120" t="s">
        <v>666</v>
      </c>
    </row>
    <row r="201" spans="2:11" ht="15.6" x14ac:dyDescent="0.3">
      <c r="B201" s="117" t="s">
        <v>291</v>
      </c>
      <c r="C201" s="28" t="s">
        <v>280</v>
      </c>
      <c r="D201" s="28">
        <v>5490</v>
      </c>
      <c r="E201" s="24" t="s">
        <v>270</v>
      </c>
      <c r="F201" s="28">
        <v>28</v>
      </c>
      <c r="G201" s="28">
        <v>2</v>
      </c>
      <c r="H201" s="28">
        <v>153720</v>
      </c>
      <c r="I201" s="28">
        <v>10980</v>
      </c>
      <c r="J201" s="29">
        <v>43676</v>
      </c>
      <c r="K201" s="121" t="s">
        <v>666</v>
      </c>
    </row>
    <row r="202" spans="2:11" ht="15.6" x14ac:dyDescent="0.3">
      <c r="B202" s="119" t="s">
        <v>268</v>
      </c>
      <c r="C202" s="26" t="s">
        <v>272</v>
      </c>
      <c r="D202" s="26">
        <v>4800</v>
      </c>
      <c r="E202" s="25" t="s">
        <v>276</v>
      </c>
      <c r="F202" s="26">
        <v>22</v>
      </c>
      <c r="G202" s="26">
        <v>3</v>
      </c>
      <c r="H202" s="26">
        <v>105600</v>
      </c>
      <c r="I202" s="26">
        <v>14400</v>
      </c>
      <c r="J202" s="27">
        <v>43677</v>
      </c>
      <c r="K202" s="120" t="s">
        <v>680</v>
      </c>
    </row>
    <row r="203" spans="2:11" ht="15.6" x14ac:dyDescent="0.3">
      <c r="B203" s="117" t="s">
        <v>293</v>
      </c>
      <c r="C203" s="28" t="s">
        <v>285</v>
      </c>
      <c r="D203" s="28">
        <v>1700</v>
      </c>
      <c r="E203" s="24" t="s">
        <v>287</v>
      </c>
      <c r="F203" s="28">
        <v>42</v>
      </c>
      <c r="G203" s="28">
        <v>3</v>
      </c>
      <c r="H203" s="28">
        <v>71400</v>
      </c>
      <c r="I203" s="28">
        <v>5100</v>
      </c>
      <c r="J203" s="29">
        <v>43683</v>
      </c>
      <c r="K203" s="121" t="s">
        <v>497</v>
      </c>
    </row>
    <row r="204" spans="2:11" ht="15.6" x14ac:dyDescent="0.3">
      <c r="B204" s="119" t="s">
        <v>271</v>
      </c>
      <c r="C204" s="26" t="s">
        <v>284</v>
      </c>
      <c r="D204" s="26">
        <v>2870</v>
      </c>
      <c r="E204" s="25" t="s">
        <v>286</v>
      </c>
      <c r="F204" s="26">
        <v>31</v>
      </c>
      <c r="G204" s="26">
        <v>3</v>
      </c>
      <c r="H204" s="26">
        <v>88970</v>
      </c>
      <c r="I204" s="26">
        <v>8610</v>
      </c>
      <c r="J204" s="27">
        <v>43687</v>
      </c>
      <c r="K204" s="120" t="s">
        <v>488</v>
      </c>
    </row>
    <row r="205" spans="2:11" ht="15.6" x14ac:dyDescent="0.3">
      <c r="B205" s="117" t="s">
        <v>278</v>
      </c>
      <c r="C205" s="28" t="s">
        <v>289</v>
      </c>
      <c r="D205" s="28">
        <v>2710</v>
      </c>
      <c r="E205" s="24" t="s">
        <v>281</v>
      </c>
      <c r="F205" s="28">
        <v>14</v>
      </c>
      <c r="G205" s="28">
        <v>0</v>
      </c>
      <c r="H205" s="28">
        <v>37940</v>
      </c>
      <c r="I205" s="28">
        <v>0</v>
      </c>
      <c r="J205" s="29">
        <v>43688</v>
      </c>
      <c r="K205" s="121" t="s">
        <v>680</v>
      </c>
    </row>
    <row r="206" spans="2:11" ht="15.6" x14ac:dyDescent="0.3">
      <c r="B206" s="119" t="s">
        <v>282</v>
      </c>
      <c r="C206" s="26" t="s">
        <v>277</v>
      </c>
      <c r="D206" s="26">
        <v>3300</v>
      </c>
      <c r="E206" s="25" t="s">
        <v>286</v>
      </c>
      <c r="F206" s="26">
        <v>11</v>
      </c>
      <c r="G206" s="26">
        <v>3</v>
      </c>
      <c r="H206" s="26">
        <v>36300</v>
      </c>
      <c r="I206" s="26">
        <v>9900</v>
      </c>
      <c r="J206" s="27">
        <v>43688</v>
      </c>
      <c r="K206" s="120" t="s">
        <v>687</v>
      </c>
    </row>
    <row r="207" spans="2:11" ht="15.6" x14ac:dyDescent="0.3">
      <c r="B207" s="117" t="s">
        <v>271</v>
      </c>
      <c r="C207" s="28" t="s">
        <v>284</v>
      </c>
      <c r="D207" s="28">
        <v>2870</v>
      </c>
      <c r="E207" s="24" t="s">
        <v>270</v>
      </c>
      <c r="F207" s="28">
        <v>16</v>
      </c>
      <c r="G207" s="28">
        <v>0</v>
      </c>
      <c r="H207" s="28">
        <v>45920</v>
      </c>
      <c r="I207" s="28">
        <v>0</v>
      </c>
      <c r="J207" s="29">
        <v>43689</v>
      </c>
      <c r="K207" s="121" t="s">
        <v>488</v>
      </c>
    </row>
    <row r="208" spans="2:11" ht="15.6" x14ac:dyDescent="0.3">
      <c r="B208" s="119" t="s">
        <v>282</v>
      </c>
      <c r="C208" s="26" t="s">
        <v>277</v>
      </c>
      <c r="D208" s="26">
        <v>3140</v>
      </c>
      <c r="E208" s="25" t="s">
        <v>287</v>
      </c>
      <c r="F208" s="26">
        <v>20</v>
      </c>
      <c r="G208" s="26">
        <v>0</v>
      </c>
      <c r="H208" s="26">
        <v>62800</v>
      </c>
      <c r="I208" s="26">
        <v>0</v>
      </c>
      <c r="J208" s="27">
        <v>43689</v>
      </c>
      <c r="K208" s="120" t="s">
        <v>687</v>
      </c>
    </row>
    <row r="209" spans="2:11" ht="15.6" x14ac:dyDescent="0.3">
      <c r="B209" s="117" t="s">
        <v>290</v>
      </c>
      <c r="C209" s="28" t="s">
        <v>284</v>
      </c>
      <c r="D209" s="28">
        <v>1100</v>
      </c>
      <c r="E209" s="24" t="s">
        <v>276</v>
      </c>
      <c r="F209" s="28">
        <v>28</v>
      </c>
      <c r="G209" s="28">
        <v>2</v>
      </c>
      <c r="H209" s="28">
        <v>30800</v>
      </c>
      <c r="I209" s="28">
        <v>2200</v>
      </c>
      <c r="J209" s="29">
        <v>43690</v>
      </c>
      <c r="K209" s="121" t="s">
        <v>666</v>
      </c>
    </row>
    <row r="210" spans="2:11" ht="15.6" x14ac:dyDescent="0.3">
      <c r="B210" s="119" t="s">
        <v>282</v>
      </c>
      <c r="C210" s="26" t="s">
        <v>275</v>
      </c>
      <c r="D210" s="26">
        <v>1380</v>
      </c>
      <c r="E210" s="25" t="s">
        <v>281</v>
      </c>
      <c r="F210" s="26">
        <v>28</v>
      </c>
      <c r="G210" s="26">
        <v>3</v>
      </c>
      <c r="H210" s="26">
        <v>38640</v>
      </c>
      <c r="I210" s="26">
        <v>4140</v>
      </c>
      <c r="J210" s="27">
        <v>43690</v>
      </c>
      <c r="K210" s="120" t="s">
        <v>687</v>
      </c>
    </row>
    <row r="211" spans="2:11" ht="15.6" x14ac:dyDescent="0.3">
      <c r="B211" s="117" t="s">
        <v>291</v>
      </c>
      <c r="C211" s="28" t="s">
        <v>280</v>
      </c>
      <c r="D211" s="28">
        <v>5490</v>
      </c>
      <c r="E211" s="24" t="s">
        <v>273</v>
      </c>
      <c r="F211" s="28">
        <v>23</v>
      </c>
      <c r="G211" s="28">
        <v>0</v>
      </c>
      <c r="H211" s="28">
        <v>126270</v>
      </c>
      <c r="I211" s="28">
        <v>0</v>
      </c>
      <c r="J211" s="29">
        <v>43692</v>
      </c>
      <c r="K211" s="121" t="s">
        <v>666</v>
      </c>
    </row>
    <row r="212" spans="2:11" ht="15.6" x14ac:dyDescent="0.3">
      <c r="B212" s="119" t="s">
        <v>268</v>
      </c>
      <c r="C212" s="26" t="s">
        <v>295</v>
      </c>
      <c r="D212" s="26">
        <v>4500</v>
      </c>
      <c r="E212" s="25" t="s">
        <v>281</v>
      </c>
      <c r="F212" s="26">
        <v>48</v>
      </c>
      <c r="G212" s="26">
        <v>2</v>
      </c>
      <c r="H212" s="26">
        <v>216000</v>
      </c>
      <c r="I212" s="26">
        <v>9000</v>
      </c>
      <c r="J212" s="27">
        <v>43692</v>
      </c>
      <c r="K212" s="120" t="s">
        <v>680</v>
      </c>
    </row>
    <row r="213" spans="2:11" ht="15.6" x14ac:dyDescent="0.3">
      <c r="B213" s="117" t="s">
        <v>288</v>
      </c>
      <c r="C213" s="28" t="s">
        <v>284</v>
      </c>
      <c r="D213" s="28">
        <v>3100</v>
      </c>
      <c r="E213" s="24" t="s">
        <v>281</v>
      </c>
      <c r="F213" s="28">
        <v>29</v>
      </c>
      <c r="G213" s="28">
        <v>1</v>
      </c>
      <c r="H213" s="28">
        <v>89900</v>
      </c>
      <c r="I213" s="28">
        <v>3100</v>
      </c>
      <c r="J213" s="29">
        <v>43696</v>
      </c>
      <c r="K213" s="121" t="s">
        <v>666</v>
      </c>
    </row>
    <row r="214" spans="2:11" ht="15.6" x14ac:dyDescent="0.3">
      <c r="B214" s="119" t="s">
        <v>271</v>
      </c>
      <c r="C214" s="26" t="s">
        <v>275</v>
      </c>
      <c r="D214" s="26">
        <v>4180</v>
      </c>
      <c r="E214" s="25" t="s">
        <v>273</v>
      </c>
      <c r="F214" s="26">
        <v>28</v>
      </c>
      <c r="G214" s="26">
        <v>1</v>
      </c>
      <c r="H214" s="26">
        <v>117040</v>
      </c>
      <c r="I214" s="26">
        <v>4180</v>
      </c>
      <c r="J214" s="27">
        <v>43696</v>
      </c>
      <c r="K214" s="120" t="s">
        <v>488</v>
      </c>
    </row>
    <row r="215" spans="2:11" ht="15.6" x14ac:dyDescent="0.3">
      <c r="B215" s="117" t="s">
        <v>294</v>
      </c>
      <c r="C215" s="28" t="s">
        <v>275</v>
      </c>
      <c r="D215" s="28">
        <v>1900</v>
      </c>
      <c r="E215" s="24" t="s">
        <v>276</v>
      </c>
      <c r="F215" s="28">
        <v>10</v>
      </c>
      <c r="G215" s="28">
        <v>1</v>
      </c>
      <c r="H215" s="28">
        <v>19000</v>
      </c>
      <c r="I215" s="28">
        <v>1900</v>
      </c>
      <c r="J215" s="29">
        <v>43697</v>
      </c>
      <c r="K215" s="121" t="s">
        <v>666</v>
      </c>
    </row>
    <row r="216" spans="2:11" ht="15.6" x14ac:dyDescent="0.3">
      <c r="B216" s="119" t="s">
        <v>282</v>
      </c>
      <c r="C216" s="26" t="s">
        <v>284</v>
      </c>
      <c r="D216" s="26">
        <v>4800</v>
      </c>
      <c r="E216" s="25" t="s">
        <v>287</v>
      </c>
      <c r="F216" s="26">
        <v>29</v>
      </c>
      <c r="G216" s="26">
        <v>0</v>
      </c>
      <c r="H216" s="26">
        <v>139200</v>
      </c>
      <c r="I216" s="26">
        <v>0</v>
      </c>
      <c r="J216" s="27">
        <v>43698</v>
      </c>
      <c r="K216" s="120" t="s">
        <v>687</v>
      </c>
    </row>
    <row r="217" spans="2:11" ht="15.6" x14ac:dyDescent="0.3">
      <c r="B217" s="117" t="s">
        <v>274</v>
      </c>
      <c r="C217" s="28" t="s">
        <v>289</v>
      </c>
      <c r="D217" s="28">
        <v>1200</v>
      </c>
      <c r="E217" s="24" t="s">
        <v>276</v>
      </c>
      <c r="F217" s="28">
        <v>32</v>
      </c>
      <c r="G217" s="28">
        <v>4</v>
      </c>
      <c r="H217" s="28">
        <v>38400</v>
      </c>
      <c r="I217" s="28">
        <v>4800</v>
      </c>
      <c r="J217" s="29">
        <v>43701</v>
      </c>
      <c r="K217" s="121" t="s">
        <v>488</v>
      </c>
    </row>
    <row r="218" spans="2:11" ht="15.6" x14ac:dyDescent="0.3">
      <c r="B218" s="119" t="s">
        <v>282</v>
      </c>
      <c r="C218" s="26" t="s">
        <v>285</v>
      </c>
      <c r="D218" s="26">
        <v>1900</v>
      </c>
      <c r="E218" s="25" t="s">
        <v>276</v>
      </c>
      <c r="F218" s="26">
        <v>30</v>
      </c>
      <c r="G218" s="26">
        <v>1</v>
      </c>
      <c r="H218" s="26">
        <v>57000</v>
      </c>
      <c r="I218" s="26">
        <v>1900</v>
      </c>
      <c r="J218" s="27">
        <v>43705</v>
      </c>
      <c r="K218" s="120" t="s">
        <v>687</v>
      </c>
    </row>
    <row r="219" spans="2:11" ht="15.6" x14ac:dyDescent="0.3">
      <c r="B219" s="117" t="s">
        <v>293</v>
      </c>
      <c r="C219" s="28" t="s">
        <v>289</v>
      </c>
      <c r="D219" s="28">
        <v>1990</v>
      </c>
      <c r="E219" s="24" t="s">
        <v>281</v>
      </c>
      <c r="F219" s="28">
        <v>10</v>
      </c>
      <c r="G219" s="28">
        <v>1</v>
      </c>
      <c r="H219" s="28">
        <v>19900</v>
      </c>
      <c r="I219" s="28">
        <v>1990</v>
      </c>
      <c r="J219" s="29">
        <v>43705</v>
      </c>
      <c r="K219" s="121" t="s">
        <v>497</v>
      </c>
    </row>
    <row r="220" spans="2:11" ht="15.6" x14ac:dyDescent="0.3">
      <c r="B220" s="119" t="s">
        <v>288</v>
      </c>
      <c r="C220" s="26" t="s">
        <v>277</v>
      </c>
      <c r="D220" s="26">
        <v>2970</v>
      </c>
      <c r="E220" s="25" t="s">
        <v>273</v>
      </c>
      <c r="F220" s="26">
        <v>41</v>
      </c>
      <c r="G220" s="26">
        <v>1</v>
      </c>
      <c r="H220" s="26">
        <v>121770</v>
      </c>
      <c r="I220" s="26">
        <v>2970</v>
      </c>
      <c r="J220" s="27">
        <v>43706</v>
      </c>
      <c r="K220" s="120" t="s">
        <v>666</v>
      </c>
    </row>
    <row r="221" spans="2:11" ht="15.6" x14ac:dyDescent="0.3">
      <c r="B221" s="117" t="s">
        <v>288</v>
      </c>
      <c r="C221" s="28" t="s">
        <v>289</v>
      </c>
      <c r="D221" s="28">
        <v>1200</v>
      </c>
      <c r="E221" s="24" t="s">
        <v>276</v>
      </c>
      <c r="F221" s="28">
        <v>13</v>
      </c>
      <c r="G221" s="28">
        <v>1</v>
      </c>
      <c r="H221" s="28">
        <v>15600</v>
      </c>
      <c r="I221" s="28">
        <v>1200</v>
      </c>
      <c r="J221" s="29">
        <v>43708</v>
      </c>
      <c r="K221" s="121" t="s">
        <v>666</v>
      </c>
    </row>
    <row r="222" spans="2:11" ht="15.6" x14ac:dyDescent="0.3">
      <c r="B222" s="119" t="s">
        <v>271</v>
      </c>
      <c r="C222" s="26" t="s">
        <v>285</v>
      </c>
      <c r="D222" s="26">
        <v>4100</v>
      </c>
      <c r="E222" s="25" t="s">
        <v>281</v>
      </c>
      <c r="F222" s="26">
        <v>45</v>
      </c>
      <c r="G222" s="26">
        <v>4</v>
      </c>
      <c r="H222" s="26">
        <v>184500</v>
      </c>
      <c r="I222" s="26">
        <v>16400</v>
      </c>
      <c r="J222" s="27">
        <v>43708</v>
      </c>
      <c r="K222" s="120" t="s">
        <v>488</v>
      </c>
    </row>
    <row r="223" spans="2:11" ht="15.6" x14ac:dyDescent="0.3">
      <c r="B223" s="117" t="s">
        <v>274</v>
      </c>
      <c r="C223" s="28" t="s">
        <v>280</v>
      </c>
      <c r="D223" s="28">
        <v>1650</v>
      </c>
      <c r="E223" s="24" t="s">
        <v>281</v>
      </c>
      <c r="F223" s="28">
        <v>22</v>
      </c>
      <c r="G223" s="28">
        <v>1</v>
      </c>
      <c r="H223" s="28">
        <v>36300</v>
      </c>
      <c r="I223" s="28">
        <v>1650</v>
      </c>
      <c r="J223" s="29">
        <v>43709</v>
      </c>
      <c r="K223" s="121" t="s">
        <v>488</v>
      </c>
    </row>
    <row r="224" spans="2:11" ht="15.6" x14ac:dyDescent="0.3">
      <c r="B224" s="119" t="s">
        <v>282</v>
      </c>
      <c r="C224" s="26" t="s">
        <v>289</v>
      </c>
      <c r="D224" s="26">
        <v>3150</v>
      </c>
      <c r="E224" s="25" t="s">
        <v>273</v>
      </c>
      <c r="F224" s="26">
        <v>38</v>
      </c>
      <c r="G224" s="26">
        <v>2</v>
      </c>
      <c r="H224" s="26">
        <v>119700</v>
      </c>
      <c r="I224" s="26">
        <v>6300</v>
      </c>
      <c r="J224" s="27">
        <v>43710</v>
      </c>
      <c r="K224" s="120" t="s">
        <v>687</v>
      </c>
    </row>
    <row r="225" spans="2:11" ht="15.6" x14ac:dyDescent="0.3">
      <c r="B225" s="117" t="s">
        <v>293</v>
      </c>
      <c r="C225" s="28" t="s">
        <v>285</v>
      </c>
      <c r="D225" s="28">
        <v>1700</v>
      </c>
      <c r="E225" s="24" t="s">
        <v>273</v>
      </c>
      <c r="F225" s="28">
        <v>50</v>
      </c>
      <c r="G225" s="28">
        <v>4</v>
      </c>
      <c r="H225" s="28">
        <v>85000</v>
      </c>
      <c r="I225" s="28">
        <v>6800</v>
      </c>
      <c r="J225" s="29">
        <v>43710</v>
      </c>
      <c r="K225" s="121" t="s">
        <v>497</v>
      </c>
    </row>
    <row r="226" spans="2:11" ht="15.6" x14ac:dyDescent="0.3">
      <c r="B226" s="119" t="s">
        <v>290</v>
      </c>
      <c r="C226" s="26" t="s">
        <v>275</v>
      </c>
      <c r="D226" s="26">
        <v>1150</v>
      </c>
      <c r="E226" s="25" t="s">
        <v>273</v>
      </c>
      <c r="F226" s="26">
        <v>48</v>
      </c>
      <c r="G226" s="26">
        <v>2</v>
      </c>
      <c r="H226" s="26">
        <v>55200</v>
      </c>
      <c r="I226" s="26">
        <v>2300</v>
      </c>
      <c r="J226" s="27">
        <v>43713</v>
      </c>
      <c r="K226" s="120" t="s">
        <v>666</v>
      </c>
    </row>
    <row r="227" spans="2:11" ht="15.6" x14ac:dyDescent="0.3">
      <c r="B227" s="117" t="s">
        <v>290</v>
      </c>
      <c r="C227" s="28" t="s">
        <v>275</v>
      </c>
      <c r="D227" s="28">
        <v>1150</v>
      </c>
      <c r="E227" s="24" t="s">
        <v>287</v>
      </c>
      <c r="F227" s="28">
        <v>27</v>
      </c>
      <c r="G227" s="28">
        <v>3</v>
      </c>
      <c r="H227" s="28">
        <v>31050</v>
      </c>
      <c r="I227" s="28">
        <v>3450</v>
      </c>
      <c r="J227" s="29">
        <v>43715</v>
      </c>
      <c r="K227" s="121" t="s">
        <v>666</v>
      </c>
    </row>
    <row r="228" spans="2:11" ht="15.6" x14ac:dyDescent="0.3">
      <c r="B228" s="119" t="s">
        <v>282</v>
      </c>
      <c r="C228" s="26" t="s">
        <v>283</v>
      </c>
      <c r="D228" s="26">
        <v>2400</v>
      </c>
      <c r="E228" s="25" t="s">
        <v>276</v>
      </c>
      <c r="F228" s="26">
        <v>48</v>
      </c>
      <c r="G228" s="26">
        <v>2</v>
      </c>
      <c r="H228" s="26">
        <v>115200</v>
      </c>
      <c r="I228" s="26">
        <v>4800</v>
      </c>
      <c r="J228" s="27">
        <v>43716</v>
      </c>
      <c r="K228" s="120" t="s">
        <v>687</v>
      </c>
    </row>
    <row r="229" spans="2:11" ht="15.6" x14ac:dyDescent="0.3">
      <c r="B229" s="117" t="s">
        <v>274</v>
      </c>
      <c r="C229" s="28" t="s">
        <v>289</v>
      </c>
      <c r="D229" s="28">
        <v>1150</v>
      </c>
      <c r="E229" s="24" t="s">
        <v>287</v>
      </c>
      <c r="F229" s="28">
        <v>14</v>
      </c>
      <c r="G229" s="28">
        <v>4</v>
      </c>
      <c r="H229" s="28">
        <v>16100</v>
      </c>
      <c r="I229" s="28">
        <v>4600</v>
      </c>
      <c r="J229" s="29">
        <v>43717</v>
      </c>
      <c r="K229" s="121" t="s">
        <v>488</v>
      </c>
    </row>
    <row r="230" spans="2:11" ht="15.6" x14ac:dyDescent="0.3">
      <c r="B230" s="119" t="s">
        <v>271</v>
      </c>
      <c r="C230" s="26" t="s">
        <v>275</v>
      </c>
      <c r="D230" s="26">
        <v>4200</v>
      </c>
      <c r="E230" s="25" t="s">
        <v>276</v>
      </c>
      <c r="F230" s="26">
        <v>26</v>
      </c>
      <c r="G230" s="26">
        <v>1</v>
      </c>
      <c r="H230" s="26">
        <v>109200</v>
      </c>
      <c r="I230" s="26">
        <v>4200</v>
      </c>
      <c r="J230" s="27">
        <v>43718</v>
      </c>
      <c r="K230" s="120" t="s">
        <v>488</v>
      </c>
    </row>
    <row r="231" spans="2:11" ht="15.6" x14ac:dyDescent="0.3">
      <c r="B231" s="117" t="s">
        <v>293</v>
      </c>
      <c r="C231" s="28" t="s">
        <v>289</v>
      </c>
      <c r="D231" s="28">
        <v>2100</v>
      </c>
      <c r="E231" s="24" t="s">
        <v>276</v>
      </c>
      <c r="F231" s="28">
        <v>37</v>
      </c>
      <c r="G231" s="28">
        <v>0</v>
      </c>
      <c r="H231" s="28">
        <v>77700</v>
      </c>
      <c r="I231" s="28">
        <v>0</v>
      </c>
      <c r="J231" s="29">
        <v>43718</v>
      </c>
      <c r="K231" s="121" t="s">
        <v>497</v>
      </c>
    </row>
    <row r="232" spans="2:11" ht="15.6" x14ac:dyDescent="0.3">
      <c r="B232" s="119" t="s">
        <v>290</v>
      </c>
      <c r="C232" s="26" t="s">
        <v>285</v>
      </c>
      <c r="D232" s="26">
        <v>1200</v>
      </c>
      <c r="E232" s="25" t="s">
        <v>273</v>
      </c>
      <c r="F232" s="26">
        <v>39</v>
      </c>
      <c r="G232" s="26">
        <v>4</v>
      </c>
      <c r="H232" s="26">
        <v>46800</v>
      </c>
      <c r="I232" s="26">
        <v>4800</v>
      </c>
      <c r="J232" s="27">
        <v>43720</v>
      </c>
      <c r="K232" s="120" t="s">
        <v>666</v>
      </c>
    </row>
    <row r="233" spans="2:11" ht="15.6" x14ac:dyDescent="0.3">
      <c r="B233" s="117" t="s">
        <v>271</v>
      </c>
      <c r="C233" s="28" t="s">
        <v>280</v>
      </c>
      <c r="D233" s="28">
        <v>2850</v>
      </c>
      <c r="E233" s="24" t="s">
        <v>281</v>
      </c>
      <c r="F233" s="28">
        <v>25</v>
      </c>
      <c r="G233" s="28">
        <v>3</v>
      </c>
      <c r="H233" s="28">
        <v>71250</v>
      </c>
      <c r="I233" s="28">
        <v>8550</v>
      </c>
      <c r="J233" s="29">
        <v>43720</v>
      </c>
      <c r="K233" s="121" t="s">
        <v>488</v>
      </c>
    </row>
    <row r="234" spans="2:11" ht="15.6" x14ac:dyDescent="0.3">
      <c r="B234" s="119" t="s">
        <v>271</v>
      </c>
      <c r="C234" s="26" t="s">
        <v>283</v>
      </c>
      <c r="D234" s="26">
        <v>4350</v>
      </c>
      <c r="E234" s="25" t="s">
        <v>273</v>
      </c>
      <c r="F234" s="26">
        <v>41</v>
      </c>
      <c r="G234" s="26">
        <v>2</v>
      </c>
      <c r="H234" s="26">
        <v>178350</v>
      </c>
      <c r="I234" s="26">
        <v>8700</v>
      </c>
      <c r="J234" s="27">
        <v>43723</v>
      </c>
      <c r="K234" s="120" t="s">
        <v>488</v>
      </c>
    </row>
    <row r="235" spans="2:11" ht="15.6" x14ac:dyDescent="0.3">
      <c r="B235" s="117" t="s">
        <v>268</v>
      </c>
      <c r="C235" s="28" t="s">
        <v>269</v>
      </c>
      <c r="D235" s="28">
        <v>2850</v>
      </c>
      <c r="E235" s="24" t="s">
        <v>286</v>
      </c>
      <c r="F235" s="28">
        <v>11</v>
      </c>
      <c r="G235" s="28">
        <v>0</v>
      </c>
      <c r="H235" s="28">
        <v>31350</v>
      </c>
      <c r="I235" s="28">
        <v>0</v>
      </c>
      <c r="J235" s="29">
        <v>43724</v>
      </c>
      <c r="K235" s="121" t="s">
        <v>680</v>
      </c>
    </row>
    <row r="236" spans="2:11" ht="15.6" x14ac:dyDescent="0.3">
      <c r="B236" s="119" t="s">
        <v>282</v>
      </c>
      <c r="C236" s="26" t="s">
        <v>289</v>
      </c>
      <c r="D236" s="26">
        <v>3150</v>
      </c>
      <c r="E236" s="25" t="s">
        <v>287</v>
      </c>
      <c r="F236" s="26">
        <v>29</v>
      </c>
      <c r="G236" s="26">
        <v>3</v>
      </c>
      <c r="H236" s="26">
        <v>91350</v>
      </c>
      <c r="I236" s="26">
        <v>9450</v>
      </c>
      <c r="J236" s="27">
        <v>43726</v>
      </c>
      <c r="K236" s="120" t="s">
        <v>687</v>
      </c>
    </row>
    <row r="237" spans="2:11" ht="15.6" x14ac:dyDescent="0.3">
      <c r="B237" s="117" t="s">
        <v>271</v>
      </c>
      <c r="C237" s="28" t="s">
        <v>283</v>
      </c>
      <c r="D237" s="28">
        <v>4400</v>
      </c>
      <c r="E237" s="24" t="s">
        <v>276</v>
      </c>
      <c r="F237" s="28">
        <v>39</v>
      </c>
      <c r="G237" s="28">
        <v>1</v>
      </c>
      <c r="H237" s="28">
        <v>171600</v>
      </c>
      <c r="I237" s="28">
        <v>4400</v>
      </c>
      <c r="J237" s="29">
        <v>43727</v>
      </c>
      <c r="K237" s="121" t="s">
        <v>488</v>
      </c>
    </row>
    <row r="238" spans="2:11" ht="15.6" x14ac:dyDescent="0.3">
      <c r="B238" s="119" t="s">
        <v>271</v>
      </c>
      <c r="C238" s="26" t="s">
        <v>284</v>
      </c>
      <c r="D238" s="26">
        <v>2870</v>
      </c>
      <c r="E238" s="25" t="s">
        <v>281</v>
      </c>
      <c r="F238" s="26">
        <v>28</v>
      </c>
      <c r="G238" s="26">
        <v>1</v>
      </c>
      <c r="H238" s="26">
        <v>80360</v>
      </c>
      <c r="I238" s="26">
        <v>2870</v>
      </c>
      <c r="J238" s="27">
        <v>43728</v>
      </c>
      <c r="K238" s="120" t="s">
        <v>488</v>
      </c>
    </row>
    <row r="239" spans="2:11" ht="15.6" x14ac:dyDescent="0.3">
      <c r="B239" s="117" t="s">
        <v>291</v>
      </c>
      <c r="C239" s="28" t="s">
        <v>283</v>
      </c>
      <c r="D239" s="28">
        <v>4590</v>
      </c>
      <c r="E239" s="24" t="s">
        <v>281</v>
      </c>
      <c r="F239" s="28">
        <v>36</v>
      </c>
      <c r="G239" s="28">
        <v>2</v>
      </c>
      <c r="H239" s="28">
        <v>165240</v>
      </c>
      <c r="I239" s="28">
        <v>9180</v>
      </c>
      <c r="J239" s="29">
        <v>43729</v>
      </c>
      <c r="K239" s="121" t="s">
        <v>666</v>
      </c>
    </row>
    <row r="240" spans="2:11" ht="15.6" x14ac:dyDescent="0.3">
      <c r="B240" s="119" t="s">
        <v>294</v>
      </c>
      <c r="C240" s="26" t="s">
        <v>275</v>
      </c>
      <c r="D240" s="26">
        <v>1800</v>
      </c>
      <c r="E240" s="25" t="s">
        <v>281</v>
      </c>
      <c r="F240" s="26">
        <v>8</v>
      </c>
      <c r="G240" s="26">
        <v>1</v>
      </c>
      <c r="H240" s="26">
        <v>14400</v>
      </c>
      <c r="I240" s="26">
        <v>1800</v>
      </c>
      <c r="J240" s="27">
        <v>43730</v>
      </c>
      <c r="K240" s="120" t="s">
        <v>666</v>
      </c>
    </row>
    <row r="241" spans="2:11" ht="15.6" x14ac:dyDescent="0.3">
      <c r="B241" s="117" t="s">
        <v>288</v>
      </c>
      <c r="C241" s="28" t="s">
        <v>284</v>
      </c>
      <c r="D241" s="28">
        <v>3390</v>
      </c>
      <c r="E241" s="24" t="s">
        <v>287</v>
      </c>
      <c r="F241" s="28">
        <v>19</v>
      </c>
      <c r="G241" s="28">
        <v>3</v>
      </c>
      <c r="H241" s="28">
        <v>64410</v>
      </c>
      <c r="I241" s="28">
        <v>10170</v>
      </c>
      <c r="J241" s="29">
        <v>43730</v>
      </c>
      <c r="K241" s="121" t="s">
        <v>666</v>
      </c>
    </row>
    <row r="242" spans="2:11" ht="15.6" x14ac:dyDescent="0.3">
      <c r="B242" s="119" t="s">
        <v>271</v>
      </c>
      <c r="C242" s="26" t="s">
        <v>280</v>
      </c>
      <c r="D242" s="26">
        <v>2850</v>
      </c>
      <c r="E242" s="25" t="s">
        <v>287</v>
      </c>
      <c r="F242" s="26">
        <v>36</v>
      </c>
      <c r="G242" s="26">
        <v>2</v>
      </c>
      <c r="H242" s="26">
        <v>102600</v>
      </c>
      <c r="I242" s="26">
        <v>5700</v>
      </c>
      <c r="J242" s="27">
        <v>43730</v>
      </c>
      <c r="K242" s="120" t="s">
        <v>488</v>
      </c>
    </row>
    <row r="243" spans="2:11" ht="15.6" x14ac:dyDescent="0.3">
      <c r="B243" s="117" t="s">
        <v>278</v>
      </c>
      <c r="C243" s="28" t="s">
        <v>289</v>
      </c>
      <c r="D243" s="28">
        <v>2620</v>
      </c>
      <c r="E243" s="24" t="s">
        <v>270</v>
      </c>
      <c r="F243" s="28">
        <v>20</v>
      </c>
      <c r="G243" s="28">
        <v>2</v>
      </c>
      <c r="H243" s="28">
        <v>52400</v>
      </c>
      <c r="I243" s="28">
        <v>5240</v>
      </c>
      <c r="J243" s="29">
        <v>43734</v>
      </c>
      <c r="K243" s="121" t="s">
        <v>680</v>
      </c>
    </row>
    <row r="244" spans="2:11" ht="15.6" x14ac:dyDescent="0.3">
      <c r="B244" s="119" t="s">
        <v>291</v>
      </c>
      <c r="C244" s="26" t="s">
        <v>289</v>
      </c>
      <c r="D244" s="26">
        <v>4550</v>
      </c>
      <c r="E244" s="25" t="s">
        <v>276</v>
      </c>
      <c r="F244" s="26">
        <v>28</v>
      </c>
      <c r="G244" s="26">
        <v>0</v>
      </c>
      <c r="H244" s="26">
        <v>127400</v>
      </c>
      <c r="I244" s="26">
        <v>0</v>
      </c>
      <c r="J244" s="27">
        <v>43736</v>
      </c>
      <c r="K244" s="120" t="s">
        <v>666</v>
      </c>
    </row>
    <row r="245" spans="2:11" ht="15.6" x14ac:dyDescent="0.3">
      <c r="B245" s="117" t="s">
        <v>268</v>
      </c>
      <c r="C245" s="28" t="s">
        <v>292</v>
      </c>
      <c r="D245" s="28">
        <v>3750</v>
      </c>
      <c r="E245" s="24" t="s">
        <v>287</v>
      </c>
      <c r="F245" s="28">
        <v>47</v>
      </c>
      <c r="G245" s="28">
        <v>1</v>
      </c>
      <c r="H245" s="28">
        <v>176250</v>
      </c>
      <c r="I245" s="28">
        <v>3750</v>
      </c>
      <c r="J245" s="29">
        <v>43737</v>
      </c>
      <c r="K245" s="121" t="s">
        <v>680</v>
      </c>
    </row>
    <row r="246" spans="2:11" ht="15.6" x14ac:dyDescent="0.3">
      <c r="B246" s="119" t="s">
        <v>279</v>
      </c>
      <c r="C246" s="26" t="s">
        <v>275</v>
      </c>
      <c r="D246" s="26">
        <v>900</v>
      </c>
      <c r="E246" s="25" t="s">
        <v>286</v>
      </c>
      <c r="F246" s="26">
        <v>18</v>
      </c>
      <c r="G246" s="26">
        <v>3</v>
      </c>
      <c r="H246" s="26">
        <v>16200</v>
      </c>
      <c r="I246" s="26">
        <v>2700</v>
      </c>
      <c r="J246" s="27">
        <v>43737</v>
      </c>
      <c r="K246" s="120" t="s">
        <v>687</v>
      </c>
    </row>
    <row r="247" spans="2:11" ht="15.6" x14ac:dyDescent="0.3">
      <c r="B247" s="117" t="s">
        <v>288</v>
      </c>
      <c r="C247" s="28" t="s">
        <v>280</v>
      </c>
      <c r="D247" s="28">
        <v>1500</v>
      </c>
      <c r="E247" s="24" t="s">
        <v>281</v>
      </c>
      <c r="F247" s="28">
        <v>38</v>
      </c>
      <c r="G247" s="28">
        <v>1</v>
      </c>
      <c r="H247" s="28">
        <v>57000</v>
      </c>
      <c r="I247" s="28">
        <v>1500</v>
      </c>
      <c r="J247" s="29">
        <v>43739</v>
      </c>
      <c r="K247" s="121" t="s">
        <v>666</v>
      </c>
    </row>
    <row r="248" spans="2:11" ht="15.6" x14ac:dyDescent="0.3">
      <c r="B248" s="119" t="s">
        <v>288</v>
      </c>
      <c r="C248" s="26" t="s">
        <v>280</v>
      </c>
      <c r="D248" s="26">
        <v>1600</v>
      </c>
      <c r="E248" s="25" t="s">
        <v>286</v>
      </c>
      <c r="F248" s="26">
        <v>14</v>
      </c>
      <c r="G248" s="26">
        <v>0</v>
      </c>
      <c r="H248" s="26">
        <v>22400</v>
      </c>
      <c r="I248" s="26">
        <v>0</v>
      </c>
      <c r="J248" s="27">
        <v>43739</v>
      </c>
      <c r="K248" s="120" t="s">
        <v>666</v>
      </c>
    </row>
    <row r="249" spans="2:11" ht="15.6" x14ac:dyDescent="0.3">
      <c r="B249" s="117" t="s">
        <v>279</v>
      </c>
      <c r="C249" s="28" t="s">
        <v>280</v>
      </c>
      <c r="D249" s="28">
        <v>1100</v>
      </c>
      <c r="E249" s="24" t="s">
        <v>270</v>
      </c>
      <c r="F249" s="28">
        <v>40</v>
      </c>
      <c r="G249" s="28">
        <v>3</v>
      </c>
      <c r="H249" s="28">
        <v>44000</v>
      </c>
      <c r="I249" s="28">
        <v>3300</v>
      </c>
      <c r="J249" s="29">
        <v>43742</v>
      </c>
      <c r="K249" s="121" t="s">
        <v>687</v>
      </c>
    </row>
    <row r="250" spans="2:11" ht="15.6" x14ac:dyDescent="0.3">
      <c r="B250" s="119" t="s">
        <v>282</v>
      </c>
      <c r="C250" s="26" t="s">
        <v>277</v>
      </c>
      <c r="D250" s="26">
        <v>3100</v>
      </c>
      <c r="E250" s="25" t="s">
        <v>273</v>
      </c>
      <c r="F250" s="26">
        <v>27</v>
      </c>
      <c r="G250" s="26">
        <v>1</v>
      </c>
      <c r="H250" s="26">
        <v>83700</v>
      </c>
      <c r="I250" s="26">
        <v>3100</v>
      </c>
      <c r="J250" s="27">
        <v>43744</v>
      </c>
      <c r="K250" s="120" t="s">
        <v>687</v>
      </c>
    </row>
    <row r="251" spans="2:11" ht="15.6" x14ac:dyDescent="0.3">
      <c r="B251" s="117" t="s">
        <v>290</v>
      </c>
      <c r="C251" s="28" t="s">
        <v>275</v>
      </c>
      <c r="D251" s="28">
        <v>1200</v>
      </c>
      <c r="E251" s="24" t="s">
        <v>286</v>
      </c>
      <c r="F251" s="28">
        <v>20</v>
      </c>
      <c r="G251" s="28">
        <v>4</v>
      </c>
      <c r="H251" s="28">
        <v>24000</v>
      </c>
      <c r="I251" s="28">
        <v>4800</v>
      </c>
      <c r="J251" s="29">
        <v>43745</v>
      </c>
      <c r="K251" s="121" t="s">
        <v>666</v>
      </c>
    </row>
    <row r="252" spans="2:11" ht="15.6" x14ac:dyDescent="0.3">
      <c r="B252" s="119" t="s">
        <v>274</v>
      </c>
      <c r="C252" s="26" t="s">
        <v>277</v>
      </c>
      <c r="D252" s="26">
        <v>2500</v>
      </c>
      <c r="E252" s="25" t="s">
        <v>281</v>
      </c>
      <c r="F252" s="26">
        <v>18</v>
      </c>
      <c r="G252" s="26">
        <v>1</v>
      </c>
      <c r="H252" s="26">
        <v>45000</v>
      </c>
      <c r="I252" s="26">
        <v>2500</v>
      </c>
      <c r="J252" s="27">
        <v>43745</v>
      </c>
      <c r="K252" s="120" t="s">
        <v>488</v>
      </c>
    </row>
    <row r="253" spans="2:11" ht="15.6" x14ac:dyDescent="0.3">
      <c r="B253" s="117" t="s">
        <v>278</v>
      </c>
      <c r="C253" s="28" t="s">
        <v>275</v>
      </c>
      <c r="D253" s="28">
        <v>3900</v>
      </c>
      <c r="E253" s="24" t="s">
        <v>273</v>
      </c>
      <c r="F253" s="28">
        <v>29</v>
      </c>
      <c r="G253" s="28">
        <v>2</v>
      </c>
      <c r="H253" s="28">
        <v>113100</v>
      </c>
      <c r="I253" s="28">
        <v>7800</v>
      </c>
      <c r="J253" s="29">
        <v>43746</v>
      </c>
      <c r="K253" s="121" t="s">
        <v>680</v>
      </c>
    </row>
    <row r="254" spans="2:11" ht="15.6" x14ac:dyDescent="0.3">
      <c r="B254" s="119" t="s">
        <v>294</v>
      </c>
      <c r="C254" s="26" t="s">
        <v>275</v>
      </c>
      <c r="D254" s="26">
        <v>1890</v>
      </c>
      <c r="E254" s="25" t="s">
        <v>273</v>
      </c>
      <c r="F254" s="26">
        <v>16</v>
      </c>
      <c r="G254" s="26">
        <v>0</v>
      </c>
      <c r="H254" s="26">
        <v>30240</v>
      </c>
      <c r="I254" s="26">
        <v>0</v>
      </c>
      <c r="J254" s="27">
        <v>43748</v>
      </c>
      <c r="K254" s="120" t="s">
        <v>666</v>
      </c>
    </row>
    <row r="255" spans="2:11" ht="15.6" x14ac:dyDescent="0.3">
      <c r="B255" s="117" t="s">
        <v>278</v>
      </c>
      <c r="C255" s="28" t="s">
        <v>280</v>
      </c>
      <c r="D255" s="28">
        <v>2580</v>
      </c>
      <c r="E255" s="24" t="s">
        <v>281</v>
      </c>
      <c r="F255" s="28">
        <v>45</v>
      </c>
      <c r="G255" s="28">
        <v>0</v>
      </c>
      <c r="H255" s="28">
        <v>116100</v>
      </c>
      <c r="I255" s="28">
        <v>0</v>
      </c>
      <c r="J255" s="29">
        <v>43748</v>
      </c>
      <c r="K255" s="121" t="s">
        <v>680</v>
      </c>
    </row>
    <row r="256" spans="2:11" ht="15.6" x14ac:dyDescent="0.3">
      <c r="B256" s="119" t="s">
        <v>282</v>
      </c>
      <c r="C256" s="26" t="s">
        <v>280</v>
      </c>
      <c r="D256" s="26">
        <v>2500</v>
      </c>
      <c r="E256" s="25" t="s">
        <v>281</v>
      </c>
      <c r="F256" s="26">
        <v>19</v>
      </c>
      <c r="G256" s="26">
        <v>2</v>
      </c>
      <c r="H256" s="26">
        <v>47500</v>
      </c>
      <c r="I256" s="26">
        <v>5000</v>
      </c>
      <c r="J256" s="27">
        <v>43748</v>
      </c>
      <c r="K256" s="120" t="s">
        <v>687</v>
      </c>
    </row>
    <row r="257" spans="2:11" ht="15.6" x14ac:dyDescent="0.3">
      <c r="B257" s="117" t="s">
        <v>290</v>
      </c>
      <c r="C257" s="28" t="s">
        <v>275</v>
      </c>
      <c r="D257" s="28">
        <v>1150</v>
      </c>
      <c r="E257" s="24" t="s">
        <v>281</v>
      </c>
      <c r="F257" s="28">
        <v>46</v>
      </c>
      <c r="G257" s="28">
        <v>4</v>
      </c>
      <c r="H257" s="28">
        <v>52900</v>
      </c>
      <c r="I257" s="28">
        <v>4600</v>
      </c>
      <c r="J257" s="29">
        <v>43749</v>
      </c>
      <c r="K257" s="121" t="s">
        <v>666</v>
      </c>
    </row>
    <row r="258" spans="2:11" ht="15.6" x14ac:dyDescent="0.3">
      <c r="B258" s="119" t="s">
        <v>274</v>
      </c>
      <c r="C258" s="26" t="s">
        <v>285</v>
      </c>
      <c r="D258" s="26">
        <v>2000</v>
      </c>
      <c r="E258" s="25" t="s">
        <v>286</v>
      </c>
      <c r="F258" s="26">
        <v>26</v>
      </c>
      <c r="G258" s="26">
        <v>4</v>
      </c>
      <c r="H258" s="26">
        <v>52000</v>
      </c>
      <c r="I258" s="26">
        <v>8000</v>
      </c>
      <c r="J258" s="27">
        <v>43749</v>
      </c>
      <c r="K258" s="120" t="s">
        <v>488</v>
      </c>
    </row>
    <row r="259" spans="2:11" ht="15.6" x14ac:dyDescent="0.3">
      <c r="B259" s="117" t="s">
        <v>290</v>
      </c>
      <c r="C259" s="28" t="s">
        <v>280</v>
      </c>
      <c r="D259" s="28">
        <v>780</v>
      </c>
      <c r="E259" s="24" t="s">
        <v>287</v>
      </c>
      <c r="F259" s="28">
        <v>31</v>
      </c>
      <c r="G259" s="28">
        <v>4</v>
      </c>
      <c r="H259" s="28">
        <v>24180</v>
      </c>
      <c r="I259" s="28">
        <v>3120</v>
      </c>
      <c r="J259" s="29">
        <v>43751</v>
      </c>
      <c r="K259" s="121" t="s">
        <v>666</v>
      </c>
    </row>
    <row r="260" spans="2:11" ht="15.6" x14ac:dyDescent="0.3">
      <c r="B260" s="119" t="s">
        <v>282</v>
      </c>
      <c r="C260" s="26" t="s">
        <v>280</v>
      </c>
      <c r="D260" s="26">
        <v>2500</v>
      </c>
      <c r="E260" s="25" t="s">
        <v>276</v>
      </c>
      <c r="F260" s="26">
        <v>47</v>
      </c>
      <c r="G260" s="26">
        <v>4</v>
      </c>
      <c r="H260" s="26">
        <v>117500</v>
      </c>
      <c r="I260" s="26">
        <v>10000</v>
      </c>
      <c r="J260" s="27">
        <v>43751</v>
      </c>
      <c r="K260" s="120" t="s">
        <v>687</v>
      </c>
    </row>
    <row r="261" spans="2:11" ht="15.6" x14ac:dyDescent="0.3">
      <c r="B261" s="117" t="s">
        <v>279</v>
      </c>
      <c r="C261" s="28" t="s">
        <v>284</v>
      </c>
      <c r="D261" s="28">
        <v>1950</v>
      </c>
      <c r="E261" s="24" t="s">
        <v>281</v>
      </c>
      <c r="F261" s="28">
        <v>24</v>
      </c>
      <c r="G261" s="28">
        <v>0</v>
      </c>
      <c r="H261" s="28">
        <v>46800</v>
      </c>
      <c r="I261" s="28">
        <v>0</v>
      </c>
      <c r="J261" s="29">
        <v>43754</v>
      </c>
      <c r="K261" s="121" t="s">
        <v>687</v>
      </c>
    </row>
    <row r="262" spans="2:11" ht="15.6" x14ac:dyDescent="0.3">
      <c r="B262" s="119" t="s">
        <v>290</v>
      </c>
      <c r="C262" s="26" t="s">
        <v>275</v>
      </c>
      <c r="D262" s="26">
        <v>1150</v>
      </c>
      <c r="E262" s="25" t="s">
        <v>270</v>
      </c>
      <c r="F262" s="26">
        <v>31</v>
      </c>
      <c r="G262" s="26">
        <v>1</v>
      </c>
      <c r="H262" s="26">
        <v>35650</v>
      </c>
      <c r="I262" s="26">
        <v>1150</v>
      </c>
      <c r="J262" s="27">
        <v>43758</v>
      </c>
      <c r="K262" s="120" t="s">
        <v>666</v>
      </c>
    </row>
    <row r="263" spans="2:11" ht="15.6" x14ac:dyDescent="0.3">
      <c r="B263" s="117" t="s">
        <v>282</v>
      </c>
      <c r="C263" s="28" t="s">
        <v>277</v>
      </c>
      <c r="D263" s="28">
        <v>3300</v>
      </c>
      <c r="E263" s="24" t="s">
        <v>276</v>
      </c>
      <c r="F263" s="28">
        <v>19</v>
      </c>
      <c r="G263" s="28">
        <v>0</v>
      </c>
      <c r="H263" s="28">
        <v>62700</v>
      </c>
      <c r="I263" s="28">
        <v>0</v>
      </c>
      <c r="J263" s="29">
        <v>43759</v>
      </c>
      <c r="K263" s="121" t="s">
        <v>687</v>
      </c>
    </row>
    <row r="264" spans="2:11" ht="15.6" x14ac:dyDescent="0.3">
      <c r="B264" s="119" t="s">
        <v>279</v>
      </c>
      <c r="C264" s="26" t="s">
        <v>289</v>
      </c>
      <c r="D264" s="26">
        <v>1750</v>
      </c>
      <c r="E264" s="25" t="s">
        <v>270</v>
      </c>
      <c r="F264" s="26">
        <v>40</v>
      </c>
      <c r="G264" s="26">
        <v>0</v>
      </c>
      <c r="H264" s="26">
        <v>70000</v>
      </c>
      <c r="I264" s="26">
        <v>0</v>
      </c>
      <c r="J264" s="27">
        <v>43759</v>
      </c>
      <c r="K264" s="120" t="s">
        <v>687</v>
      </c>
    </row>
    <row r="265" spans="2:11" ht="15.6" x14ac:dyDescent="0.3">
      <c r="B265" s="117" t="s">
        <v>271</v>
      </c>
      <c r="C265" s="28" t="s">
        <v>272</v>
      </c>
      <c r="D265" s="28">
        <v>3880</v>
      </c>
      <c r="E265" s="24" t="s">
        <v>281</v>
      </c>
      <c r="F265" s="28">
        <v>12</v>
      </c>
      <c r="G265" s="28">
        <v>4</v>
      </c>
      <c r="H265" s="28">
        <v>46560</v>
      </c>
      <c r="I265" s="28">
        <v>15520</v>
      </c>
      <c r="J265" s="29">
        <v>43764</v>
      </c>
      <c r="K265" s="121" t="s">
        <v>488</v>
      </c>
    </row>
    <row r="266" spans="2:11" ht="15.6" x14ac:dyDescent="0.3">
      <c r="B266" s="119" t="s">
        <v>271</v>
      </c>
      <c r="C266" s="26" t="s">
        <v>275</v>
      </c>
      <c r="D266" s="26">
        <v>4300</v>
      </c>
      <c r="E266" s="25" t="s">
        <v>287</v>
      </c>
      <c r="F266" s="26">
        <v>36</v>
      </c>
      <c r="G266" s="26">
        <v>3</v>
      </c>
      <c r="H266" s="26">
        <v>154800</v>
      </c>
      <c r="I266" s="26">
        <v>12900</v>
      </c>
      <c r="J266" s="27">
        <v>43766</v>
      </c>
      <c r="K266" s="120" t="s">
        <v>488</v>
      </c>
    </row>
    <row r="267" spans="2:11" ht="15.6" x14ac:dyDescent="0.3">
      <c r="B267" s="117" t="s">
        <v>278</v>
      </c>
      <c r="C267" s="28" t="s">
        <v>280</v>
      </c>
      <c r="D267" s="28">
        <v>2600</v>
      </c>
      <c r="E267" s="24" t="s">
        <v>276</v>
      </c>
      <c r="F267" s="28">
        <v>10</v>
      </c>
      <c r="G267" s="28">
        <v>2</v>
      </c>
      <c r="H267" s="28">
        <v>26000</v>
      </c>
      <c r="I267" s="28">
        <v>5200</v>
      </c>
      <c r="J267" s="29">
        <v>43766</v>
      </c>
      <c r="K267" s="121" t="s">
        <v>680</v>
      </c>
    </row>
    <row r="268" spans="2:11" ht="15.6" x14ac:dyDescent="0.3">
      <c r="B268" s="119" t="s">
        <v>274</v>
      </c>
      <c r="C268" s="26" t="s">
        <v>283</v>
      </c>
      <c r="D268" s="26">
        <v>1680</v>
      </c>
      <c r="E268" s="25" t="s">
        <v>276</v>
      </c>
      <c r="F268" s="26">
        <v>31</v>
      </c>
      <c r="G268" s="26">
        <v>3</v>
      </c>
      <c r="H268" s="26">
        <v>52080</v>
      </c>
      <c r="I268" s="26">
        <v>5040</v>
      </c>
      <c r="J268" s="27">
        <v>43767</v>
      </c>
      <c r="K268" s="120" t="s">
        <v>488</v>
      </c>
    </row>
    <row r="269" spans="2:11" ht="15.6" x14ac:dyDescent="0.3">
      <c r="B269" s="117" t="s">
        <v>268</v>
      </c>
      <c r="C269" s="28" t="s">
        <v>272</v>
      </c>
      <c r="D269" s="28">
        <v>4700</v>
      </c>
      <c r="E269" s="24" t="s">
        <v>287</v>
      </c>
      <c r="F269" s="28">
        <v>34</v>
      </c>
      <c r="G269" s="28">
        <v>1</v>
      </c>
      <c r="H269" s="28">
        <v>159800</v>
      </c>
      <c r="I269" s="28">
        <v>4700</v>
      </c>
      <c r="J269" s="29">
        <v>43767</v>
      </c>
      <c r="K269" s="121" t="s">
        <v>680</v>
      </c>
    </row>
    <row r="270" spans="2:11" ht="15.6" x14ac:dyDescent="0.3">
      <c r="B270" s="119" t="s">
        <v>268</v>
      </c>
      <c r="C270" s="26" t="s">
        <v>272</v>
      </c>
      <c r="D270" s="26">
        <v>4700</v>
      </c>
      <c r="E270" s="25" t="s">
        <v>270</v>
      </c>
      <c r="F270" s="26">
        <v>49</v>
      </c>
      <c r="G270" s="26">
        <v>0</v>
      </c>
      <c r="H270" s="26">
        <v>230300</v>
      </c>
      <c r="I270" s="26">
        <v>0</v>
      </c>
      <c r="J270" s="27">
        <v>43772</v>
      </c>
      <c r="K270" s="120" t="s">
        <v>680</v>
      </c>
    </row>
    <row r="271" spans="2:11" ht="15.6" x14ac:dyDescent="0.3">
      <c r="B271" s="117" t="s">
        <v>268</v>
      </c>
      <c r="C271" s="28" t="s">
        <v>295</v>
      </c>
      <c r="D271" s="28">
        <v>4580</v>
      </c>
      <c r="E271" s="24" t="s">
        <v>286</v>
      </c>
      <c r="F271" s="28">
        <v>44</v>
      </c>
      <c r="G271" s="28">
        <v>3</v>
      </c>
      <c r="H271" s="28">
        <v>201520</v>
      </c>
      <c r="I271" s="28">
        <v>13740</v>
      </c>
      <c r="J271" s="29">
        <v>43772</v>
      </c>
      <c r="K271" s="121" t="s">
        <v>680</v>
      </c>
    </row>
    <row r="272" spans="2:11" ht="15.6" x14ac:dyDescent="0.3">
      <c r="B272" s="119" t="s">
        <v>293</v>
      </c>
      <c r="C272" s="26" t="s">
        <v>277</v>
      </c>
      <c r="D272" s="26">
        <v>1250</v>
      </c>
      <c r="E272" s="25" t="s">
        <v>270</v>
      </c>
      <c r="F272" s="26">
        <v>47</v>
      </c>
      <c r="G272" s="26">
        <v>0</v>
      </c>
      <c r="H272" s="26">
        <v>58750</v>
      </c>
      <c r="I272" s="26">
        <v>0</v>
      </c>
      <c r="J272" s="27">
        <v>43773</v>
      </c>
      <c r="K272" s="120" t="s">
        <v>497</v>
      </c>
    </row>
    <row r="273" spans="2:11" ht="15.6" x14ac:dyDescent="0.3">
      <c r="B273" s="117" t="s">
        <v>271</v>
      </c>
      <c r="C273" s="28" t="s">
        <v>285</v>
      </c>
      <c r="D273" s="28">
        <v>4100</v>
      </c>
      <c r="E273" s="24" t="s">
        <v>286</v>
      </c>
      <c r="F273" s="28">
        <v>17</v>
      </c>
      <c r="G273" s="28">
        <v>2</v>
      </c>
      <c r="H273" s="28">
        <v>69700</v>
      </c>
      <c r="I273" s="28">
        <v>8200</v>
      </c>
      <c r="J273" s="29">
        <v>43774</v>
      </c>
      <c r="K273" s="121" t="s">
        <v>488</v>
      </c>
    </row>
    <row r="274" spans="2:11" ht="15.6" x14ac:dyDescent="0.3">
      <c r="B274" s="119" t="s">
        <v>291</v>
      </c>
      <c r="C274" s="26" t="s">
        <v>283</v>
      </c>
      <c r="D274" s="26">
        <v>4590</v>
      </c>
      <c r="E274" s="25" t="s">
        <v>286</v>
      </c>
      <c r="F274" s="26">
        <v>19</v>
      </c>
      <c r="G274" s="26">
        <v>4</v>
      </c>
      <c r="H274" s="26">
        <v>87210</v>
      </c>
      <c r="I274" s="26">
        <v>18360</v>
      </c>
      <c r="J274" s="27">
        <v>43775</v>
      </c>
      <c r="K274" s="120" t="s">
        <v>666</v>
      </c>
    </row>
    <row r="275" spans="2:11" ht="15.6" x14ac:dyDescent="0.3">
      <c r="B275" s="117" t="s">
        <v>274</v>
      </c>
      <c r="C275" s="28" t="s">
        <v>283</v>
      </c>
      <c r="D275" s="28">
        <v>1560</v>
      </c>
      <c r="E275" s="24" t="s">
        <v>281</v>
      </c>
      <c r="F275" s="28">
        <v>30</v>
      </c>
      <c r="G275" s="28">
        <v>2</v>
      </c>
      <c r="H275" s="28">
        <v>46800</v>
      </c>
      <c r="I275" s="28">
        <v>3120</v>
      </c>
      <c r="J275" s="29">
        <v>43777</v>
      </c>
      <c r="K275" s="121" t="s">
        <v>488</v>
      </c>
    </row>
    <row r="276" spans="2:11" ht="15.6" x14ac:dyDescent="0.3">
      <c r="B276" s="119" t="s">
        <v>278</v>
      </c>
      <c r="C276" s="26" t="s">
        <v>280</v>
      </c>
      <c r="D276" s="26">
        <v>2540</v>
      </c>
      <c r="E276" s="25" t="s">
        <v>270</v>
      </c>
      <c r="F276" s="26">
        <v>39</v>
      </c>
      <c r="G276" s="26">
        <v>0</v>
      </c>
      <c r="H276" s="26">
        <v>99060</v>
      </c>
      <c r="I276" s="26">
        <v>0</v>
      </c>
      <c r="J276" s="27">
        <v>43777</v>
      </c>
      <c r="K276" s="120" t="s">
        <v>680</v>
      </c>
    </row>
    <row r="277" spans="2:11" ht="15.6" x14ac:dyDescent="0.3">
      <c r="B277" s="117" t="s">
        <v>268</v>
      </c>
      <c r="C277" s="28" t="s">
        <v>292</v>
      </c>
      <c r="D277" s="28">
        <v>3750</v>
      </c>
      <c r="E277" s="24" t="s">
        <v>270</v>
      </c>
      <c r="F277" s="28">
        <v>41</v>
      </c>
      <c r="G277" s="28">
        <v>3</v>
      </c>
      <c r="H277" s="28">
        <v>153750</v>
      </c>
      <c r="I277" s="28">
        <v>11250</v>
      </c>
      <c r="J277" s="29">
        <v>43778</v>
      </c>
      <c r="K277" s="121" t="s">
        <v>680</v>
      </c>
    </row>
    <row r="278" spans="2:11" ht="15.6" x14ac:dyDescent="0.3">
      <c r="B278" s="119" t="s">
        <v>282</v>
      </c>
      <c r="C278" s="26" t="s">
        <v>289</v>
      </c>
      <c r="D278" s="26">
        <v>3250</v>
      </c>
      <c r="E278" s="25" t="s">
        <v>281</v>
      </c>
      <c r="F278" s="26">
        <v>17</v>
      </c>
      <c r="G278" s="26">
        <v>2</v>
      </c>
      <c r="H278" s="26">
        <v>55250</v>
      </c>
      <c r="I278" s="26">
        <v>6500</v>
      </c>
      <c r="J278" s="27">
        <v>43778</v>
      </c>
      <c r="K278" s="120" t="s">
        <v>687</v>
      </c>
    </row>
    <row r="279" spans="2:11" ht="15.6" x14ac:dyDescent="0.3">
      <c r="B279" s="117" t="s">
        <v>278</v>
      </c>
      <c r="C279" s="28" t="s">
        <v>283</v>
      </c>
      <c r="D279" s="28">
        <v>2150</v>
      </c>
      <c r="E279" s="24" t="s">
        <v>270</v>
      </c>
      <c r="F279" s="28">
        <v>18</v>
      </c>
      <c r="G279" s="28">
        <v>2</v>
      </c>
      <c r="H279" s="28">
        <v>38700</v>
      </c>
      <c r="I279" s="28">
        <v>4300</v>
      </c>
      <c r="J279" s="29">
        <v>43780</v>
      </c>
      <c r="K279" s="121" t="s">
        <v>680</v>
      </c>
    </row>
    <row r="280" spans="2:11" ht="15.6" x14ac:dyDescent="0.3">
      <c r="B280" s="119" t="s">
        <v>288</v>
      </c>
      <c r="C280" s="26" t="s">
        <v>289</v>
      </c>
      <c r="D280" s="26">
        <v>1280</v>
      </c>
      <c r="E280" s="25" t="s">
        <v>270</v>
      </c>
      <c r="F280" s="26">
        <v>21</v>
      </c>
      <c r="G280" s="26">
        <v>0</v>
      </c>
      <c r="H280" s="26">
        <v>26880</v>
      </c>
      <c r="I280" s="26">
        <v>0</v>
      </c>
      <c r="J280" s="27">
        <v>43781</v>
      </c>
      <c r="K280" s="120" t="s">
        <v>666</v>
      </c>
    </row>
    <row r="281" spans="2:11" ht="15.6" x14ac:dyDescent="0.3">
      <c r="B281" s="117" t="s">
        <v>274</v>
      </c>
      <c r="C281" s="28" t="s">
        <v>280</v>
      </c>
      <c r="D281" s="28">
        <v>1650</v>
      </c>
      <c r="E281" s="24" t="s">
        <v>270</v>
      </c>
      <c r="F281" s="28">
        <v>39</v>
      </c>
      <c r="G281" s="28">
        <v>3</v>
      </c>
      <c r="H281" s="28">
        <v>64350</v>
      </c>
      <c r="I281" s="28">
        <v>4950</v>
      </c>
      <c r="J281" s="29">
        <v>43782</v>
      </c>
      <c r="K281" s="121" t="s">
        <v>488</v>
      </c>
    </row>
    <row r="282" spans="2:11" ht="15.6" x14ac:dyDescent="0.3">
      <c r="B282" s="119" t="s">
        <v>278</v>
      </c>
      <c r="C282" s="26" t="s">
        <v>285</v>
      </c>
      <c r="D282" s="26">
        <v>1790</v>
      </c>
      <c r="E282" s="25" t="s">
        <v>273</v>
      </c>
      <c r="F282" s="26">
        <v>14</v>
      </c>
      <c r="G282" s="26">
        <v>4</v>
      </c>
      <c r="H282" s="26">
        <v>25060</v>
      </c>
      <c r="I282" s="26">
        <v>7160</v>
      </c>
      <c r="J282" s="27">
        <v>43782</v>
      </c>
      <c r="K282" s="120" t="s">
        <v>680</v>
      </c>
    </row>
    <row r="283" spans="2:11" ht="15.6" x14ac:dyDescent="0.3">
      <c r="B283" s="117" t="s">
        <v>291</v>
      </c>
      <c r="C283" s="28" t="s">
        <v>283</v>
      </c>
      <c r="D283" s="28">
        <v>4590</v>
      </c>
      <c r="E283" s="24" t="s">
        <v>287</v>
      </c>
      <c r="F283" s="28">
        <v>27</v>
      </c>
      <c r="G283" s="28">
        <v>2</v>
      </c>
      <c r="H283" s="28">
        <v>123930</v>
      </c>
      <c r="I283" s="28">
        <v>9180</v>
      </c>
      <c r="J283" s="29">
        <v>43784</v>
      </c>
      <c r="K283" s="121" t="s">
        <v>666</v>
      </c>
    </row>
    <row r="284" spans="2:11" ht="15.6" x14ac:dyDescent="0.3">
      <c r="B284" s="119" t="s">
        <v>282</v>
      </c>
      <c r="C284" s="26" t="s">
        <v>283</v>
      </c>
      <c r="D284" s="26">
        <v>2390</v>
      </c>
      <c r="E284" s="25" t="s">
        <v>273</v>
      </c>
      <c r="F284" s="26">
        <v>50</v>
      </c>
      <c r="G284" s="26">
        <v>0</v>
      </c>
      <c r="H284" s="26">
        <v>119500</v>
      </c>
      <c r="I284" s="26">
        <v>0</v>
      </c>
      <c r="J284" s="27">
        <v>43791</v>
      </c>
      <c r="K284" s="120" t="s">
        <v>687</v>
      </c>
    </row>
    <row r="285" spans="2:11" ht="15.6" x14ac:dyDescent="0.3">
      <c r="B285" s="117" t="s">
        <v>271</v>
      </c>
      <c r="C285" s="28" t="s">
        <v>280</v>
      </c>
      <c r="D285" s="28">
        <v>2900</v>
      </c>
      <c r="E285" s="24" t="s">
        <v>286</v>
      </c>
      <c r="F285" s="28">
        <v>36</v>
      </c>
      <c r="G285" s="28">
        <v>3</v>
      </c>
      <c r="H285" s="28">
        <v>104400</v>
      </c>
      <c r="I285" s="28">
        <v>8700</v>
      </c>
      <c r="J285" s="29">
        <v>43792</v>
      </c>
      <c r="K285" s="121" t="s">
        <v>488</v>
      </c>
    </row>
    <row r="286" spans="2:11" ht="15.6" x14ac:dyDescent="0.3">
      <c r="B286" s="119" t="s">
        <v>278</v>
      </c>
      <c r="C286" s="26" t="s">
        <v>275</v>
      </c>
      <c r="D286" s="26">
        <v>3900</v>
      </c>
      <c r="E286" s="25" t="s">
        <v>286</v>
      </c>
      <c r="F286" s="26">
        <v>41</v>
      </c>
      <c r="G286" s="26">
        <v>0</v>
      </c>
      <c r="H286" s="26">
        <v>159900</v>
      </c>
      <c r="I286" s="26">
        <v>0</v>
      </c>
      <c r="J286" s="27">
        <v>43794</v>
      </c>
      <c r="K286" s="120" t="s">
        <v>680</v>
      </c>
    </row>
    <row r="287" spans="2:11" ht="15.6" x14ac:dyDescent="0.3">
      <c r="B287" s="117" t="s">
        <v>282</v>
      </c>
      <c r="C287" s="28" t="s">
        <v>275</v>
      </c>
      <c r="D287" s="28">
        <v>1370</v>
      </c>
      <c r="E287" s="24" t="s">
        <v>273</v>
      </c>
      <c r="F287" s="28">
        <v>38</v>
      </c>
      <c r="G287" s="28">
        <v>4</v>
      </c>
      <c r="H287" s="28">
        <v>52060</v>
      </c>
      <c r="I287" s="28">
        <v>5480</v>
      </c>
      <c r="J287" s="29">
        <v>43794</v>
      </c>
      <c r="K287" s="121" t="s">
        <v>687</v>
      </c>
    </row>
    <row r="288" spans="2:11" ht="15.6" x14ac:dyDescent="0.3">
      <c r="B288" s="119" t="s">
        <v>268</v>
      </c>
      <c r="C288" s="26" t="s">
        <v>272</v>
      </c>
      <c r="D288" s="26">
        <v>4750</v>
      </c>
      <c r="E288" s="25" t="s">
        <v>286</v>
      </c>
      <c r="F288" s="26">
        <v>10</v>
      </c>
      <c r="G288" s="26">
        <v>3</v>
      </c>
      <c r="H288" s="26">
        <v>47500</v>
      </c>
      <c r="I288" s="26">
        <v>14250</v>
      </c>
      <c r="J288" s="27">
        <v>43795</v>
      </c>
      <c r="K288" s="120" t="s">
        <v>680</v>
      </c>
    </row>
    <row r="289" spans="2:11" ht="15.6" x14ac:dyDescent="0.3">
      <c r="B289" s="117" t="s">
        <v>271</v>
      </c>
      <c r="C289" s="28" t="s">
        <v>285</v>
      </c>
      <c r="D289" s="28">
        <v>4100</v>
      </c>
      <c r="E289" s="24" t="s">
        <v>276</v>
      </c>
      <c r="F289" s="28">
        <v>18</v>
      </c>
      <c r="G289" s="28">
        <v>1</v>
      </c>
      <c r="H289" s="28">
        <v>73800</v>
      </c>
      <c r="I289" s="28">
        <v>4100</v>
      </c>
      <c r="J289" s="29">
        <v>43797</v>
      </c>
      <c r="K289" s="121" t="s">
        <v>488</v>
      </c>
    </row>
    <row r="290" spans="2:11" ht="15.6" x14ac:dyDescent="0.3">
      <c r="B290" s="119" t="s">
        <v>268</v>
      </c>
      <c r="C290" s="26" t="s">
        <v>295</v>
      </c>
      <c r="D290" s="26">
        <v>4500</v>
      </c>
      <c r="E290" s="25" t="s">
        <v>270</v>
      </c>
      <c r="F290" s="26">
        <v>28</v>
      </c>
      <c r="G290" s="26">
        <v>3</v>
      </c>
      <c r="H290" s="26">
        <v>126000</v>
      </c>
      <c r="I290" s="26">
        <v>13500</v>
      </c>
      <c r="J290" s="27">
        <v>43798</v>
      </c>
      <c r="K290" s="120" t="s">
        <v>680</v>
      </c>
    </row>
    <row r="291" spans="2:11" ht="15.6" x14ac:dyDescent="0.3">
      <c r="B291" s="117" t="s">
        <v>282</v>
      </c>
      <c r="C291" s="28" t="s">
        <v>284</v>
      </c>
      <c r="D291" s="28">
        <v>4800</v>
      </c>
      <c r="E291" s="24" t="s">
        <v>273</v>
      </c>
      <c r="F291" s="28">
        <v>48</v>
      </c>
      <c r="G291" s="28">
        <v>3</v>
      </c>
      <c r="H291" s="28">
        <v>230400</v>
      </c>
      <c r="I291" s="28">
        <v>14400</v>
      </c>
      <c r="J291" s="29">
        <v>43800</v>
      </c>
      <c r="K291" s="121" t="s">
        <v>687</v>
      </c>
    </row>
    <row r="292" spans="2:11" ht="15.6" x14ac:dyDescent="0.3">
      <c r="B292" s="119" t="s">
        <v>282</v>
      </c>
      <c r="C292" s="26" t="s">
        <v>285</v>
      </c>
      <c r="D292" s="26">
        <v>1990</v>
      </c>
      <c r="E292" s="25" t="s">
        <v>270</v>
      </c>
      <c r="F292" s="26">
        <v>18</v>
      </c>
      <c r="G292" s="26">
        <v>0</v>
      </c>
      <c r="H292" s="26">
        <v>35820</v>
      </c>
      <c r="I292" s="26">
        <v>0</v>
      </c>
      <c r="J292" s="27">
        <v>43800</v>
      </c>
      <c r="K292" s="120" t="s">
        <v>687</v>
      </c>
    </row>
    <row r="293" spans="2:11" ht="15.6" x14ac:dyDescent="0.3">
      <c r="B293" s="117" t="s">
        <v>279</v>
      </c>
      <c r="C293" s="28" t="s">
        <v>289</v>
      </c>
      <c r="D293" s="28">
        <v>1800</v>
      </c>
      <c r="E293" s="24" t="s">
        <v>276</v>
      </c>
      <c r="F293" s="28">
        <v>44</v>
      </c>
      <c r="G293" s="28">
        <v>1</v>
      </c>
      <c r="H293" s="28">
        <v>79200</v>
      </c>
      <c r="I293" s="28">
        <v>1800</v>
      </c>
      <c r="J293" s="29">
        <v>43800</v>
      </c>
      <c r="K293" s="121" t="s">
        <v>687</v>
      </c>
    </row>
    <row r="294" spans="2:11" ht="15.6" x14ac:dyDescent="0.3">
      <c r="B294" s="119" t="s">
        <v>293</v>
      </c>
      <c r="C294" s="26" t="s">
        <v>277</v>
      </c>
      <c r="D294" s="26">
        <v>1250</v>
      </c>
      <c r="E294" s="25" t="s">
        <v>273</v>
      </c>
      <c r="F294" s="26">
        <v>13</v>
      </c>
      <c r="G294" s="26">
        <v>0</v>
      </c>
      <c r="H294" s="26">
        <v>16250</v>
      </c>
      <c r="I294" s="26">
        <v>0</v>
      </c>
      <c r="J294" s="27">
        <v>43800</v>
      </c>
      <c r="K294" s="120" t="s">
        <v>497</v>
      </c>
    </row>
    <row r="295" spans="2:11" ht="15.6" x14ac:dyDescent="0.3">
      <c r="B295" s="117" t="s">
        <v>271</v>
      </c>
      <c r="C295" s="28" t="s">
        <v>284</v>
      </c>
      <c r="D295" s="28">
        <v>3000</v>
      </c>
      <c r="E295" s="24" t="s">
        <v>287</v>
      </c>
      <c r="F295" s="28">
        <v>37</v>
      </c>
      <c r="G295" s="28">
        <v>0</v>
      </c>
      <c r="H295" s="28">
        <v>111000</v>
      </c>
      <c r="I295" s="28">
        <v>0</v>
      </c>
      <c r="J295" s="29">
        <v>43803</v>
      </c>
      <c r="K295" s="121" t="s">
        <v>488</v>
      </c>
    </row>
    <row r="296" spans="2:11" ht="15.6" x14ac:dyDescent="0.3">
      <c r="B296" s="119" t="s">
        <v>278</v>
      </c>
      <c r="C296" s="26" t="s">
        <v>275</v>
      </c>
      <c r="D296" s="26">
        <v>3900</v>
      </c>
      <c r="E296" s="25" t="s">
        <v>276</v>
      </c>
      <c r="F296" s="26">
        <v>38</v>
      </c>
      <c r="G296" s="26">
        <v>0</v>
      </c>
      <c r="H296" s="26">
        <v>148200</v>
      </c>
      <c r="I296" s="26">
        <v>0</v>
      </c>
      <c r="J296" s="27">
        <v>43803</v>
      </c>
      <c r="K296" s="120" t="s">
        <v>680</v>
      </c>
    </row>
    <row r="297" spans="2:11" ht="15.6" x14ac:dyDescent="0.3">
      <c r="B297" s="117" t="s">
        <v>279</v>
      </c>
      <c r="C297" s="28" t="s">
        <v>280</v>
      </c>
      <c r="D297" s="28">
        <v>1150</v>
      </c>
      <c r="E297" s="24" t="s">
        <v>286</v>
      </c>
      <c r="F297" s="28">
        <v>38</v>
      </c>
      <c r="G297" s="28">
        <v>2</v>
      </c>
      <c r="H297" s="28">
        <v>43700</v>
      </c>
      <c r="I297" s="28">
        <v>2300</v>
      </c>
      <c r="J297" s="29">
        <v>43803</v>
      </c>
      <c r="K297" s="121" t="s">
        <v>687</v>
      </c>
    </row>
    <row r="298" spans="2:11" ht="15.6" x14ac:dyDescent="0.3">
      <c r="B298" s="119" t="s">
        <v>288</v>
      </c>
      <c r="C298" s="26" t="s">
        <v>280</v>
      </c>
      <c r="D298" s="26">
        <v>1490</v>
      </c>
      <c r="E298" s="25" t="s">
        <v>270</v>
      </c>
      <c r="F298" s="26">
        <v>47</v>
      </c>
      <c r="G298" s="26">
        <v>0</v>
      </c>
      <c r="H298" s="26">
        <v>70030</v>
      </c>
      <c r="I298" s="26">
        <v>0</v>
      </c>
      <c r="J298" s="27">
        <v>43804</v>
      </c>
      <c r="K298" s="120" t="s">
        <v>666</v>
      </c>
    </row>
    <row r="299" spans="2:11" ht="15.6" x14ac:dyDescent="0.3">
      <c r="B299" s="117" t="s">
        <v>290</v>
      </c>
      <c r="C299" s="28" t="s">
        <v>285</v>
      </c>
      <c r="D299" s="28">
        <v>1200</v>
      </c>
      <c r="E299" s="24" t="s">
        <v>287</v>
      </c>
      <c r="F299" s="28">
        <v>39</v>
      </c>
      <c r="G299" s="28">
        <v>0</v>
      </c>
      <c r="H299" s="28">
        <v>46800</v>
      </c>
      <c r="I299" s="28">
        <v>0</v>
      </c>
      <c r="J299" s="29">
        <v>43804</v>
      </c>
      <c r="K299" s="121" t="s">
        <v>666</v>
      </c>
    </row>
    <row r="300" spans="2:11" ht="15.6" x14ac:dyDescent="0.3">
      <c r="B300" s="119" t="s">
        <v>293</v>
      </c>
      <c r="C300" s="26" t="s">
        <v>280</v>
      </c>
      <c r="D300" s="26">
        <v>1650</v>
      </c>
      <c r="E300" s="25" t="s">
        <v>273</v>
      </c>
      <c r="F300" s="26">
        <v>39</v>
      </c>
      <c r="G300" s="26">
        <v>4</v>
      </c>
      <c r="H300" s="26">
        <v>64350</v>
      </c>
      <c r="I300" s="26">
        <v>6600</v>
      </c>
      <c r="J300" s="27">
        <v>43804</v>
      </c>
      <c r="K300" s="120" t="s">
        <v>497</v>
      </c>
    </row>
    <row r="301" spans="2:11" ht="15.6" x14ac:dyDescent="0.3">
      <c r="B301" s="117" t="s">
        <v>293</v>
      </c>
      <c r="C301" s="28" t="s">
        <v>280</v>
      </c>
      <c r="D301" s="28">
        <v>1660</v>
      </c>
      <c r="E301" s="24" t="s">
        <v>276</v>
      </c>
      <c r="F301" s="28">
        <v>44</v>
      </c>
      <c r="G301" s="28">
        <v>3</v>
      </c>
      <c r="H301" s="28">
        <v>73040</v>
      </c>
      <c r="I301" s="28">
        <v>4980</v>
      </c>
      <c r="J301" s="29">
        <v>43807</v>
      </c>
      <c r="K301" s="121" t="s">
        <v>497</v>
      </c>
    </row>
    <row r="302" spans="2:11" ht="15.6" x14ac:dyDescent="0.3">
      <c r="B302" s="119" t="s">
        <v>278</v>
      </c>
      <c r="C302" s="26" t="s">
        <v>283</v>
      </c>
      <c r="D302" s="26">
        <v>2300</v>
      </c>
      <c r="E302" s="25" t="s">
        <v>287</v>
      </c>
      <c r="F302" s="26">
        <v>34</v>
      </c>
      <c r="G302" s="26">
        <v>4</v>
      </c>
      <c r="H302" s="26">
        <v>78200</v>
      </c>
      <c r="I302" s="26">
        <v>9200</v>
      </c>
      <c r="J302" s="27">
        <v>43810</v>
      </c>
      <c r="K302" s="120" t="s">
        <v>680</v>
      </c>
    </row>
    <row r="303" spans="2:11" ht="15.6" x14ac:dyDescent="0.3">
      <c r="B303" s="117" t="s">
        <v>278</v>
      </c>
      <c r="C303" s="28" t="s">
        <v>277</v>
      </c>
      <c r="D303" s="28">
        <v>2600</v>
      </c>
      <c r="E303" s="24" t="s">
        <v>286</v>
      </c>
      <c r="F303" s="28">
        <v>32</v>
      </c>
      <c r="G303" s="28">
        <v>0</v>
      </c>
      <c r="H303" s="28">
        <v>83200</v>
      </c>
      <c r="I303" s="28">
        <v>0</v>
      </c>
      <c r="J303" s="29">
        <v>43812</v>
      </c>
      <c r="K303" s="121" t="s">
        <v>680</v>
      </c>
    </row>
    <row r="304" spans="2:11" ht="15.6" x14ac:dyDescent="0.3">
      <c r="B304" s="119" t="s">
        <v>282</v>
      </c>
      <c r="C304" s="26" t="s">
        <v>289</v>
      </c>
      <c r="D304" s="26">
        <v>3200</v>
      </c>
      <c r="E304" s="25" t="s">
        <v>286</v>
      </c>
      <c r="F304" s="26">
        <v>29</v>
      </c>
      <c r="G304" s="26">
        <v>0</v>
      </c>
      <c r="H304" s="26">
        <v>92800</v>
      </c>
      <c r="I304" s="26">
        <v>0</v>
      </c>
      <c r="J304" s="27">
        <v>43812</v>
      </c>
      <c r="K304" s="120" t="s">
        <v>687</v>
      </c>
    </row>
    <row r="305" spans="2:11" ht="15.6" x14ac:dyDescent="0.3">
      <c r="B305" s="117" t="s">
        <v>274</v>
      </c>
      <c r="C305" s="28" t="s">
        <v>280</v>
      </c>
      <c r="D305" s="28">
        <v>1700</v>
      </c>
      <c r="E305" s="24" t="s">
        <v>286</v>
      </c>
      <c r="F305" s="28">
        <v>14</v>
      </c>
      <c r="G305" s="28">
        <v>4</v>
      </c>
      <c r="H305" s="28">
        <v>23800</v>
      </c>
      <c r="I305" s="28">
        <v>6800</v>
      </c>
      <c r="J305" s="29">
        <v>43813</v>
      </c>
      <c r="K305" s="121" t="s">
        <v>488</v>
      </c>
    </row>
    <row r="306" spans="2:11" ht="15.6" x14ac:dyDescent="0.3">
      <c r="B306" s="119" t="s">
        <v>291</v>
      </c>
      <c r="C306" s="26" t="s">
        <v>277</v>
      </c>
      <c r="D306" s="26">
        <v>9990</v>
      </c>
      <c r="E306" s="25" t="s">
        <v>276</v>
      </c>
      <c r="F306" s="26">
        <v>43</v>
      </c>
      <c r="G306" s="26">
        <v>4</v>
      </c>
      <c r="H306" s="26">
        <v>429570</v>
      </c>
      <c r="I306" s="26">
        <v>39960</v>
      </c>
      <c r="J306" s="27">
        <v>43815</v>
      </c>
      <c r="K306" s="120" t="s">
        <v>666</v>
      </c>
    </row>
    <row r="307" spans="2:11" ht="15.6" x14ac:dyDescent="0.3">
      <c r="B307" s="117" t="s">
        <v>271</v>
      </c>
      <c r="C307" s="28" t="s">
        <v>272</v>
      </c>
      <c r="D307" s="28">
        <v>3880</v>
      </c>
      <c r="E307" s="24" t="s">
        <v>270</v>
      </c>
      <c r="F307" s="28">
        <v>15</v>
      </c>
      <c r="G307" s="28">
        <v>1</v>
      </c>
      <c r="H307" s="28">
        <v>58200</v>
      </c>
      <c r="I307" s="28">
        <v>3880</v>
      </c>
      <c r="J307" s="29">
        <v>43816</v>
      </c>
      <c r="K307" s="121" t="s">
        <v>488</v>
      </c>
    </row>
    <row r="308" spans="2:11" ht="15.6" x14ac:dyDescent="0.3">
      <c r="B308" s="119" t="s">
        <v>279</v>
      </c>
      <c r="C308" s="26" t="s">
        <v>275</v>
      </c>
      <c r="D308" s="26">
        <v>900</v>
      </c>
      <c r="E308" s="25" t="s">
        <v>281</v>
      </c>
      <c r="F308" s="26">
        <v>22</v>
      </c>
      <c r="G308" s="26">
        <v>1</v>
      </c>
      <c r="H308" s="26">
        <v>19800</v>
      </c>
      <c r="I308" s="26">
        <v>900</v>
      </c>
      <c r="J308" s="27">
        <v>43816</v>
      </c>
      <c r="K308" s="120" t="s">
        <v>687</v>
      </c>
    </row>
    <row r="309" spans="2:11" ht="15.6" x14ac:dyDescent="0.3">
      <c r="B309" s="117" t="s">
        <v>282</v>
      </c>
      <c r="C309" s="28" t="s">
        <v>285</v>
      </c>
      <c r="D309" s="28">
        <v>1990</v>
      </c>
      <c r="E309" s="24" t="s">
        <v>273</v>
      </c>
      <c r="F309" s="28">
        <v>25</v>
      </c>
      <c r="G309" s="28">
        <v>3</v>
      </c>
      <c r="H309" s="28">
        <v>49750</v>
      </c>
      <c r="I309" s="28">
        <v>5970</v>
      </c>
      <c r="J309" s="29">
        <v>43817</v>
      </c>
      <c r="K309" s="121" t="s">
        <v>687</v>
      </c>
    </row>
    <row r="310" spans="2:11" ht="15.6" x14ac:dyDescent="0.3">
      <c r="B310" s="119" t="s">
        <v>293</v>
      </c>
      <c r="C310" s="26" t="s">
        <v>289</v>
      </c>
      <c r="D310" s="26">
        <v>2000</v>
      </c>
      <c r="E310" s="25" t="s">
        <v>270</v>
      </c>
      <c r="F310" s="26">
        <v>50</v>
      </c>
      <c r="G310" s="26">
        <v>2</v>
      </c>
      <c r="H310" s="26">
        <v>100000</v>
      </c>
      <c r="I310" s="26">
        <v>4000</v>
      </c>
      <c r="J310" s="27">
        <v>43817</v>
      </c>
      <c r="K310" s="120" t="s">
        <v>497</v>
      </c>
    </row>
    <row r="311" spans="2:11" ht="15.6" x14ac:dyDescent="0.3">
      <c r="B311" s="117" t="s">
        <v>274</v>
      </c>
      <c r="C311" s="28" t="s">
        <v>289</v>
      </c>
      <c r="D311" s="28">
        <v>1150</v>
      </c>
      <c r="E311" s="24" t="s">
        <v>281</v>
      </c>
      <c r="F311" s="28">
        <v>47</v>
      </c>
      <c r="G311" s="28">
        <v>2</v>
      </c>
      <c r="H311" s="28">
        <v>54050</v>
      </c>
      <c r="I311" s="28">
        <v>2300</v>
      </c>
      <c r="J311" s="29">
        <v>43820</v>
      </c>
      <c r="K311" s="121" t="s">
        <v>488</v>
      </c>
    </row>
    <row r="312" spans="2:11" ht="15.6" x14ac:dyDescent="0.3">
      <c r="B312" s="119" t="s">
        <v>271</v>
      </c>
      <c r="C312" s="26" t="s">
        <v>272</v>
      </c>
      <c r="D312" s="26">
        <v>3880</v>
      </c>
      <c r="E312" s="25" t="s">
        <v>287</v>
      </c>
      <c r="F312" s="26">
        <v>22</v>
      </c>
      <c r="G312" s="26">
        <v>2</v>
      </c>
      <c r="H312" s="26">
        <v>85360</v>
      </c>
      <c r="I312" s="26">
        <v>7760</v>
      </c>
      <c r="J312" s="27">
        <v>43822</v>
      </c>
      <c r="K312" s="120" t="s">
        <v>488</v>
      </c>
    </row>
    <row r="313" spans="2:11" ht="15.6" x14ac:dyDescent="0.3">
      <c r="B313" s="117" t="s">
        <v>268</v>
      </c>
      <c r="C313" s="28" t="s">
        <v>269</v>
      </c>
      <c r="D313" s="28">
        <v>2800</v>
      </c>
      <c r="E313" s="24" t="s">
        <v>287</v>
      </c>
      <c r="F313" s="28">
        <v>16</v>
      </c>
      <c r="G313" s="28">
        <v>3</v>
      </c>
      <c r="H313" s="28">
        <v>44800</v>
      </c>
      <c r="I313" s="28">
        <v>8400</v>
      </c>
      <c r="J313" s="29">
        <v>43823</v>
      </c>
      <c r="K313" s="121" t="s">
        <v>680</v>
      </c>
    </row>
    <row r="314" spans="2:11" ht="15.6" x14ac:dyDescent="0.3">
      <c r="B314" s="119" t="s">
        <v>279</v>
      </c>
      <c r="C314" s="26" t="s">
        <v>289</v>
      </c>
      <c r="D314" s="26">
        <v>1750</v>
      </c>
      <c r="E314" s="25" t="s">
        <v>273</v>
      </c>
      <c r="F314" s="26">
        <v>42</v>
      </c>
      <c r="G314" s="26">
        <v>0</v>
      </c>
      <c r="H314" s="26">
        <v>73500</v>
      </c>
      <c r="I314" s="26">
        <v>0</v>
      </c>
      <c r="J314" s="27">
        <v>43823</v>
      </c>
      <c r="K314" s="120" t="s">
        <v>687</v>
      </c>
    </row>
    <row r="315" spans="2:11" ht="15.6" x14ac:dyDescent="0.3">
      <c r="B315" s="117" t="s">
        <v>279</v>
      </c>
      <c r="C315" s="28" t="s">
        <v>284</v>
      </c>
      <c r="D315" s="28">
        <v>1950</v>
      </c>
      <c r="E315" s="24" t="s">
        <v>287</v>
      </c>
      <c r="F315" s="28">
        <v>35</v>
      </c>
      <c r="G315" s="28">
        <v>2</v>
      </c>
      <c r="H315" s="28">
        <v>68250</v>
      </c>
      <c r="I315" s="28">
        <v>3900</v>
      </c>
      <c r="J315" s="29">
        <v>43824</v>
      </c>
      <c r="K315" s="121" t="s">
        <v>687</v>
      </c>
    </row>
    <row r="316" spans="2:11" ht="15.6" x14ac:dyDescent="0.3">
      <c r="B316" s="119" t="s">
        <v>278</v>
      </c>
      <c r="C316" s="26" t="s">
        <v>283</v>
      </c>
      <c r="D316" s="26">
        <v>2200</v>
      </c>
      <c r="E316" s="25" t="s">
        <v>276</v>
      </c>
      <c r="F316" s="26">
        <v>25</v>
      </c>
      <c r="G316" s="26">
        <v>4</v>
      </c>
      <c r="H316" s="26">
        <v>55000</v>
      </c>
      <c r="I316" s="26">
        <v>8800</v>
      </c>
      <c r="J316" s="27">
        <v>43825</v>
      </c>
      <c r="K316" s="120" t="s">
        <v>680</v>
      </c>
    </row>
    <row r="317" spans="2:11" ht="15.6" x14ac:dyDescent="0.3">
      <c r="B317" s="117" t="s">
        <v>290</v>
      </c>
      <c r="C317" s="28" t="s">
        <v>284</v>
      </c>
      <c r="D317" s="28">
        <v>1080</v>
      </c>
      <c r="E317" s="24" t="s">
        <v>270</v>
      </c>
      <c r="F317" s="28">
        <v>43</v>
      </c>
      <c r="G317" s="28">
        <v>4</v>
      </c>
      <c r="H317" s="28">
        <v>46440</v>
      </c>
      <c r="I317" s="28">
        <v>4320</v>
      </c>
      <c r="J317" s="29">
        <v>43826</v>
      </c>
      <c r="K317" s="121" t="s">
        <v>666</v>
      </c>
    </row>
    <row r="318" spans="2:11" ht="15.6" x14ac:dyDescent="0.3">
      <c r="B318" s="119" t="s">
        <v>274</v>
      </c>
      <c r="C318" s="26" t="s">
        <v>275</v>
      </c>
      <c r="D318" s="26">
        <v>890</v>
      </c>
      <c r="E318" s="25" t="s">
        <v>287</v>
      </c>
      <c r="F318" s="26">
        <v>50</v>
      </c>
      <c r="G318" s="26">
        <v>4</v>
      </c>
      <c r="H318" s="26">
        <v>44500</v>
      </c>
      <c r="I318" s="26">
        <v>3560</v>
      </c>
      <c r="J318" s="27">
        <v>43827</v>
      </c>
      <c r="K318" s="120" t="s">
        <v>488</v>
      </c>
    </row>
    <row r="319" spans="2:11" ht="15.6" x14ac:dyDescent="0.3">
      <c r="B319" s="117" t="s">
        <v>271</v>
      </c>
      <c r="C319" s="28" t="s">
        <v>277</v>
      </c>
      <c r="D319" s="28">
        <v>4050</v>
      </c>
      <c r="E319" s="24" t="s">
        <v>270</v>
      </c>
      <c r="F319" s="28">
        <v>48</v>
      </c>
      <c r="G319" s="28">
        <v>4</v>
      </c>
      <c r="H319" s="28">
        <v>194400</v>
      </c>
      <c r="I319" s="28">
        <v>16200</v>
      </c>
      <c r="J319" s="29">
        <v>43827</v>
      </c>
      <c r="K319" s="121" t="s">
        <v>488</v>
      </c>
    </row>
    <row r="320" spans="2:11" ht="15.6" x14ac:dyDescent="0.3">
      <c r="B320" s="122" t="s">
        <v>279</v>
      </c>
      <c r="C320" s="35" t="s">
        <v>284</v>
      </c>
      <c r="D320" s="35">
        <v>1950</v>
      </c>
      <c r="E320" s="34" t="s">
        <v>270</v>
      </c>
      <c r="F320" s="35">
        <v>43</v>
      </c>
      <c r="G320" s="35">
        <v>3</v>
      </c>
      <c r="H320" s="35">
        <v>83850</v>
      </c>
      <c r="I320" s="35">
        <v>5850</v>
      </c>
      <c r="J320" s="36">
        <v>43828</v>
      </c>
      <c r="K320" s="123" t="s">
        <v>687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E05A-2B5E-4483-8FE2-379BAD5459C0}">
  <dimension ref="B2:K56"/>
  <sheetViews>
    <sheetView zoomScaleNormal="100" workbookViewId="0"/>
  </sheetViews>
  <sheetFormatPr defaultColWidth="9.109375" defaultRowHeight="15.6" x14ac:dyDescent="0.3"/>
  <cols>
    <col min="1" max="1" width="3.6640625" style="1" customWidth="1"/>
    <col min="2" max="2" width="9.33203125" style="89" bestFit="1" customWidth="1"/>
    <col min="3" max="3" width="19.109375" style="89" bestFit="1" customWidth="1"/>
    <col min="4" max="4" width="16" style="89" bestFit="1" customWidth="1"/>
    <col min="5" max="5" width="19.109375" style="89" bestFit="1" customWidth="1"/>
    <col min="6" max="6" width="10" style="89" bestFit="1" customWidth="1"/>
    <col min="7" max="7" width="23.109375" style="89" bestFit="1" customWidth="1"/>
    <col min="8" max="8" width="21.6640625" style="89" bestFit="1" customWidth="1"/>
    <col min="9" max="9" width="14.5546875" style="89" bestFit="1" customWidth="1"/>
    <col min="10" max="16384" width="9.109375" style="1"/>
  </cols>
  <sheetData>
    <row r="2" spans="2:11" ht="18" x14ac:dyDescent="0.35">
      <c r="B2" s="2" t="s">
        <v>9</v>
      </c>
    </row>
    <row r="3" spans="2:11" ht="18" x14ac:dyDescent="0.35">
      <c r="B3" s="3" t="s">
        <v>733</v>
      </c>
    </row>
    <row r="4" spans="2:11" ht="18" x14ac:dyDescent="0.35">
      <c r="B4" s="3" t="s">
        <v>730</v>
      </c>
    </row>
    <row r="5" spans="2:11" ht="16.2" thickBot="1" x14ac:dyDescent="0.35"/>
    <row r="6" spans="2:11" ht="31.5" customHeight="1" x14ac:dyDescent="0.35">
      <c r="B6" s="77" t="s">
        <v>1</v>
      </c>
      <c r="C6" s="79" t="s">
        <v>323</v>
      </c>
      <c r="D6" s="78" t="s">
        <v>82</v>
      </c>
      <c r="E6" s="78" t="s">
        <v>83</v>
      </c>
      <c r="F6" s="78" t="s">
        <v>80</v>
      </c>
      <c r="G6" s="80" t="s">
        <v>77</v>
      </c>
      <c r="H6" s="78" t="s">
        <v>79</v>
      </c>
      <c r="I6" s="81" t="s">
        <v>324</v>
      </c>
      <c r="K6" s="2"/>
    </row>
    <row r="7" spans="2:11" ht="18" x14ac:dyDescent="0.35">
      <c r="B7" s="83" t="s">
        <v>73</v>
      </c>
      <c r="C7" s="76" t="s">
        <v>410</v>
      </c>
      <c r="D7" s="76" t="s">
        <v>411</v>
      </c>
      <c r="E7" s="76" t="s">
        <v>412</v>
      </c>
      <c r="F7" s="84" t="s">
        <v>479</v>
      </c>
      <c r="G7" s="85">
        <v>31250</v>
      </c>
      <c r="H7" s="84" t="s">
        <v>480</v>
      </c>
      <c r="I7" s="18">
        <v>5400</v>
      </c>
      <c r="K7" s="3"/>
    </row>
    <row r="8" spans="2:11" x14ac:dyDescent="0.3">
      <c r="B8" s="83" t="s">
        <v>68</v>
      </c>
      <c r="C8" s="76" t="s">
        <v>454</v>
      </c>
      <c r="D8" s="76" t="s">
        <v>455</v>
      </c>
      <c r="E8" s="76" t="s">
        <v>456</v>
      </c>
      <c r="F8" s="84" t="s">
        <v>479</v>
      </c>
      <c r="G8" s="85">
        <v>29951</v>
      </c>
      <c r="H8" s="84" t="s">
        <v>312</v>
      </c>
      <c r="I8" s="18">
        <v>15360</v>
      </c>
    </row>
    <row r="9" spans="2:11" ht="18" x14ac:dyDescent="0.35">
      <c r="B9" s="83" t="s">
        <v>73</v>
      </c>
      <c r="C9" s="76" t="s">
        <v>368</v>
      </c>
      <c r="D9" s="76" t="s">
        <v>369</v>
      </c>
      <c r="E9" s="76" t="s">
        <v>370</v>
      </c>
      <c r="F9" s="84" t="s">
        <v>69</v>
      </c>
      <c r="G9" s="85">
        <v>24431</v>
      </c>
      <c r="H9" s="84" t="s">
        <v>310</v>
      </c>
      <c r="I9" s="18">
        <v>8370</v>
      </c>
      <c r="K9" s="3"/>
    </row>
    <row r="10" spans="2:11" x14ac:dyDescent="0.3">
      <c r="B10" s="83" t="s">
        <v>73</v>
      </c>
      <c r="C10" s="76" t="s">
        <v>457</v>
      </c>
      <c r="D10" s="76" t="s">
        <v>458</v>
      </c>
      <c r="E10" s="76" t="s">
        <v>335</v>
      </c>
      <c r="F10" s="84" t="s">
        <v>479</v>
      </c>
      <c r="G10" s="85">
        <v>31841</v>
      </c>
      <c r="H10" s="84" t="s">
        <v>310</v>
      </c>
      <c r="I10" s="18">
        <v>9180</v>
      </c>
    </row>
    <row r="11" spans="2:11" x14ac:dyDescent="0.3">
      <c r="B11" s="83" t="s">
        <v>73</v>
      </c>
      <c r="C11" s="76" t="s">
        <v>438</v>
      </c>
      <c r="D11" s="76" t="s">
        <v>439</v>
      </c>
      <c r="E11" s="76" t="s">
        <v>440</v>
      </c>
      <c r="F11" s="84" t="s">
        <v>479</v>
      </c>
      <c r="G11" s="85">
        <v>32608</v>
      </c>
      <c r="H11" s="84" t="s">
        <v>310</v>
      </c>
      <c r="I11" s="18">
        <v>6210</v>
      </c>
    </row>
    <row r="12" spans="2:11" x14ac:dyDescent="0.3">
      <c r="B12" s="83" t="s">
        <v>75</v>
      </c>
      <c r="C12" s="76" t="s">
        <v>435</v>
      </c>
      <c r="D12" s="76" t="s">
        <v>436</v>
      </c>
      <c r="E12" s="76" t="s">
        <v>437</v>
      </c>
      <c r="F12" s="84" t="s">
        <v>479</v>
      </c>
      <c r="G12" s="85">
        <v>29161</v>
      </c>
      <c r="H12" s="84" t="s">
        <v>312</v>
      </c>
      <c r="I12" s="18">
        <v>10350</v>
      </c>
    </row>
    <row r="13" spans="2:11" x14ac:dyDescent="0.3">
      <c r="B13" s="83" t="s">
        <v>75</v>
      </c>
      <c r="C13" s="76" t="s">
        <v>408</v>
      </c>
      <c r="D13" s="76" t="s">
        <v>363</v>
      </c>
      <c r="E13" s="76" t="s">
        <v>364</v>
      </c>
      <c r="F13" s="84" t="s">
        <v>69</v>
      </c>
      <c r="G13" s="85">
        <v>34630</v>
      </c>
      <c r="H13" s="84" t="s">
        <v>481</v>
      </c>
      <c r="I13" s="18">
        <v>9000</v>
      </c>
    </row>
    <row r="14" spans="2:11" x14ac:dyDescent="0.3">
      <c r="B14" s="83" t="s">
        <v>73</v>
      </c>
      <c r="C14" s="76" t="s">
        <v>377</v>
      </c>
      <c r="D14" s="76" t="s">
        <v>378</v>
      </c>
      <c r="E14" s="76" t="s">
        <v>379</v>
      </c>
      <c r="F14" s="84" t="s">
        <v>69</v>
      </c>
      <c r="G14" s="85">
        <v>33370</v>
      </c>
      <c r="H14" s="84" t="s">
        <v>482</v>
      </c>
      <c r="I14" s="18">
        <v>6210</v>
      </c>
    </row>
    <row r="15" spans="2:11" x14ac:dyDescent="0.3">
      <c r="B15" s="83" t="s">
        <v>75</v>
      </c>
      <c r="C15" s="76" t="s">
        <v>446</v>
      </c>
      <c r="D15" s="76" t="s">
        <v>447</v>
      </c>
      <c r="E15" s="76" t="s">
        <v>448</v>
      </c>
      <c r="F15" s="84" t="s">
        <v>479</v>
      </c>
      <c r="G15" s="85">
        <v>30274</v>
      </c>
      <c r="H15" s="84" t="s">
        <v>480</v>
      </c>
      <c r="I15" s="18">
        <v>10350</v>
      </c>
    </row>
    <row r="16" spans="2:11" x14ac:dyDescent="0.3">
      <c r="B16" s="83" t="s">
        <v>73</v>
      </c>
      <c r="C16" s="76" t="s">
        <v>395</v>
      </c>
      <c r="D16" s="76" t="s">
        <v>396</v>
      </c>
      <c r="E16" s="76" t="s">
        <v>397</v>
      </c>
      <c r="F16" s="84" t="s">
        <v>69</v>
      </c>
      <c r="G16" s="85">
        <v>34033</v>
      </c>
      <c r="H16" s="84" t="s">
        <v>311</v>
      </c>
      <c r="I16" s="18">
        <v>2715</v>
      </c>
    </row>
    <row r="17" spans="2:9" x14ac:dyDescent="0.3">
      <c r="B17" s="83" t="s">
        <v>73</v>
      </c>
      <c r="C17" s="76" t="s">
        <v>360</v>
      </c>
      <c r="D17" s="76" t="s">
        <v>361</v>
      </c>
      <c r="E17" s="76" t="s">
        <v>362</v>
      </c>
      <c r="F17" s="84" t="s">
        <v>69</v>
      </c>
      <c r="G17" s="85">
        <v>30267</v>
      </c>
      <c r="H17" s="84" t="s">
        <v>483</v>
      </c>
      <c r="I17" s="18">
        <v>5400</v>
      </c>
    </row>
    <row r="18" spans="2:9" x14ac:dyDescent="0.3">
      <c r="B18" s="83" t="s">
        <v>73</v>
      </c>
      <c r="C18" s="76" t="s">
        <v>477</v>
      </c>
      <c r="D18" s="76" t="s">
        <v>449</v>
      </c>
      <c r="E18" s="76" t="s">
        <v>450</v>
      </c>
      <c r="F18" s="84" t="s">
        <v>479</v>
      </c>
      <c r="G18" s="85">
        <v>30880</v>
      </c>
      <c r="H18" s="84" t="s">
        <v>310</v>
      </c>
      <c r="I18" s="18">
        <v>6480</v>
      </c>
    </row>
    <row r="19" spans="2:9" x14ac:dyDescent="0.3">
      <c r="B19" s="83" t="s">
        <v>68</v>
      </c>
      <c r="C19" s="76" t="s">
        <v>413</v>
      </c>
      <c r="D19" s="76" t="s">
        <v>414</v>
      </c>
      <c r="E19" s="76" t="s">
        <v>415</v>
      </c>
      <c r="F19" s="84" t="s">
        <v>479</v>
      </c>
      <c r="G19" s="85">
        <v>29843</v>
      </c>
      <c r="H19" s="84" t="s">
        <v>310</v>
      </c>
      <c r="I19" s="18">
        <v>32640</v>
      </c>
    </row>
    <row r="20" spans="2:9" x14ac:dyDescent="0.3">
      <c r="B20" s="83" t="s">
        <v>72</v>
      </c>
      <c r="C20" s="76" t="s">
        <v>432</v>
      </c>
      <c r="D20" s="76" t="s">
        <v>433</v>
      </c>
      <c r="E20" s="76" t="s">
        <v>434</v>
      </c>
      <c r="F20" s="84" t="s">
        <v>479</v>
      </c>
      <c r="G20" s="85">
        <v>25384</v>
      </c>
      <c r="H20" s="84" t="s">
        <v>481</v>
      </c>
      <c r="I20" s="18">
        <v>25500</v>
      </c>
    </row>
    <row r="21" spans="2:9" x14ac:dyDescent="0.3">
      <c r="B21" s="83" t="s">
        <v>72</v>
      </c>
      <c r="C21" s="76" t="s">
        <v>371</v>
      </c>
      <c r="D21" s="76" t="s">
        <v>372</v>
      </c>
      <c r="E21" s="76" t="s">
        <v>373</v>
      </c>
      <c r="F21" s="84" t="s">
        <v>69</v>
      </c>
      <c r="G21" s="85">
        <v>35538</v>
      </c>
      <c r="H21" s="84" t="s">
        <v>483</v>
      </c>
      <c r="I21" s="18">
        <v>25500</v>
      </c>
    </row>
    <row r="22" spans="2:9" x14ac:dyDescent="0.3">
      <c r="B22" s="83" t="s">
        <v>72</v>
      </c>
      <c r="C22" s="76" t="s">
        <v>468</v>
      </c>
      <c r="D22" s="76" t="s">
        <v>330</v>
      </c>
      <c r="E22" s="76" t="s">
        <v>469</v>
      </c>
      <c r="F22" s="84" t="s">
        <v>479</v>
      </c>
      <c r="G22" s="85">
        <v>30339</v>
      </c>
      <c r="H22" s="84" t="s">
        <v>481</v>
      </c>
      <c r="I22" s="18">
        <v>25500</v>
      </c>
    </row>
    <row r="23" spans="2:9" x14ac:dyDescent="0.3">
      <c r="B23" s="83" t="s">
        <v>72</v>
      </c>
      <c r="C23" s="76" t="s">
        <v>348</v>
      </c>
      <c r="D23" s="76" t="s">
        <v>349</v>
      </c>
      <c r="E23" s="76" t="s">
        <v>350</v>
      </c>
      <c r="F23" s="84" t="s">
        <v>69</v>
      </c>
      <c r="G23" s="85">
        <v>35936</v>
      </c>
      <c r="H23" s="84" t="s">
        <v>484</v>
      </c>
      <c r="I23" s="18">
        <v>17250</v>
      </c>
    </row>
    <row r="24" spans="2:9" x14ac:dyDescent="0.3">
      <c r="B24" s="83" t="s">
        <v>73</v>
      </c>
      <c r="C24" s="76" t="s">
        <v>342</v>
      </c>
      <c r="D24" s="76" t="s">
        <v>343</v>
      </c>
      <c r="E24" s="76" t="s">
        <v>344</v>
      </c>
      <c r="F24" s="84" t="s">
        <v>69</v>
      </c>
      <c r="G24" s="85">
        <v>36452</v>
      </c>
      <c r="H24" s="84" t="s">
        <v>310</v>
      </c>
      <c r="I24" s="18">
        <v>6210</v>
      </c>
    </row>
    <row r="25" spans="2:9" x14ac:dyDescent="0.3">
      <c r="B25" s="83" t="s">
        <v>75</v>
      </c>
      <c r="C25" s="76" t="s">
        <v>383</v>
      </c>
      <c r="D25" s="76" t="s">
        <v>384</v>
      </c>
      <c r="E25" s="76" t="s">
        <v>385</v>
      </c>
      <c r="F25" s="84" t="s">
        <v>69</v>
      </c>
      <c r="G25" s="85">
        <v>29189</v>
      </c>
      <c r="H25" s="84" t="s">
        <v>310</v>
      </c>
      <c r="I25" s="18">
        <v>7200</v>
      </c>
    </row>
    <row r="26" spans="2:9" x14ac:dyDescent="0.3">
      <c r="B26" s="83" t="s">
        <v>73</v>
      </c>
      <c r="C26" s="76" t="s">
        <v>345</v>
      </c>
      <c r="D26" s="76" t="s">
        <v>346</v>
      </c>
      <c r="E26" s="76" t="s">
        <v>347</v>
      </c>
      <c r="F26" s="84" t="s">
        <v>69</v>
      </c>
      <c r="G26" s="85">
        <v>36504</v>
      </c>
      <c r="H26" s="84" t="s">
        <v>311</v>
      </c>
      <c r="I26" s="18">
        <v>5400</v>
      </c>
    </row>
    <row r="27" spans="2:9" x14ac:dyDescent="0.3">
      <c r="B27" s="83" t="s">
        <v>75</v>
      </c>
      <c r="C27" s="76" t="s">
        <v>426</v>
      </c>
      <c r="D27" s="76" t="s">
        <v>427</v>
      </c>
      <c r="E27" s="76" t="s">
        <v>428</v>
      </c>
      <c r="F27" s="84" t="s">
        <v>479</v>
      </c>
      <c r="G27" s="85">
        <v>32803</v>
      </c>
      <c r="H27" s="84" t="s">
        <v>310</v>
      </c>
      <c r="I27" s="18">
        <v>7650</v>
      </c>
    </row>
    <row r="28" spans="2:9" x14ac:dyDescent="0.3">
      <c r="B28" s="83" t="s">
        <v>72</v>
      </c>
      <c r="C28" s="76" t="s">
        <v>398</v>
      </c>
      <c r="D28" s="76" t="s">
        <v>399</v>
      </c>
      <c r="E28" s="76" t="s">
        <v>400</v>
      </c>
      <c r="F28" s="84" t="s">
        <v>69</v>
      </c>
      <c r="G28" s="85">
        <v>33091</v>
      </c>
      <c r="H28" s="84" t="s">
        <v>310</v>
      </c>
      <c r="I28" s="18">
        <v>17250</v>
      </c>
    </row>
    <row r="29" spans="2:9" x14ac:dyDescent="0.3">
      <c r="B29" s="83" t="s">
        <v>75</v>
      </c>
      <c r="C29" s="76" t="s">
        <v>441</v>
      </c>
      <c r="D29" s="76" t="s">
        <v>442</v>
      </c>
      <c r="E29" s="76" t="s">
        <v>76</v>
      </c>
      <c r="F29" s="84" t="s">
        <v>479</v>
      </c>
      <c r="G29" s="85">
        <v>28582</v>
      </c>
      <c r="H29" s="84" t="s">
        <v>484</v>
      </c>
      <c r="I29" s="18">
        <v>13950</v>
      </c>
    </row>
    <row r="30" spans="2:9" x14ac:dyDescent="0.3">
      <c r="B30" s="83" t="s">
        <v>72</v>
      </c>
      <c r="C30" s="76" t="s">
        <v>443</v>
      </c>
      <c r="D30" s="76" t="s">
        <v>444</v>
      </c>
      <c r="E30" s="76" t="s">
        <v>445</v>
      </c>
      <c r="F30" s="84" t="s">
        <v>479</v>
      </c>
      <c r="G30" s="85">
        <v>32127</v>
      </c>
      <c r="H30" s="84" t="s">
        <v>484</v>
      </c>
      <c r="I30" s="18">
        <v>7545</v>
      </c>
    </row>
    <row r="31" spans="2:9" x14ac:dyDescent="0.3">
      <c r="B31" s="83" t="s">
        <v>72</v>
      </c>
      <c r="C31" s="76" t="s">
        <v>416</v>
      </c>
      <c r="D31" s="76" t="s">
        <v>417</v>
      </c>
      <c r="E31" s="76" t="s">
        <v>326</v>
      </c>
      <c r="F31" s="84" t="s">
        <v>479</v>
      </c>
      <c r="G31" s="85">
        <v>31929</v>
      </c>
      <c r="H31" s="84" t="s">
        <v>312</v>
      </c>
      <c r="I31" s="18">
        <v>15000</v>
      </c>
    </row>
    <row r="32" spans="2:9" x14ac:dyDescent="0.3">
      <c r="B32" s="83" t="s">
        <v>68</v>
      </c>
      <c r="C32" s="76" t="s">
        <v>339</v>
      </c>
      <c r="D32" s="76" t="s">
        <v>340</v>
      </c>
      <c r="E32" s="76" t="s">
        <v>341</v>
      </c>
      <c r="F32" s="84" t="s">
        <v>69</v>
      </c>
      <c r="G32" s="85">
        <v>38994</v>
      </c>
      <c r="H32" s="84" t="s">
        <v>481</v>
      </c>
      <c r="I32" s="18">
        <v>16320</v>
      </c>
    </row>
    <row r="33" spans="2:9" x14ac:dyDescent="0.3">
      <c r="B33" s="83" t="s">
        <v>75</v>
      </c>
      <c r="C33" s="76" t="s">
        <v>421</v>
      </c>
      <c r="D33" s="76" t="s">
        <v>422</v>
      </c>
      <c r="E33" s="76" t="s">
        <v>423</v>
      </c>
      <c r="F33" s="84" t="s">
        <v>479</v>
      </c>
      <c r="G33" s="85">
        <v>31010</v>
      </c>
      <c r="H33" s="84" t="s">
        <v>480</v>
      </c>
      <c r="I33" s="18">
        <v>10350</v>
      </c>
    </row>
    <row r="34" spans="2:9" x14ac:dyDescent="0.3">
      <c r="B34" s="83" t="s">
        <v>73</v>
      </c>
      <c r="C34" s="76" t="s">
        <v>386</v>
      </c>
      <c r="D34" s="76" t="s">
        <v>387</v>
      </c>
      <c r="E34" s="76" t="s">
        <v>388</v>
      </c>
      <c r="F34" s="84" t="s">
        <v>69</v>
      </c>
      <c r="G34" s="85">
        <v>34957</v>
      </c>
      <c r="H34" s="84" t="s">
        <v>310</v>
      </c>
      <c r="I34" s="18">
        <v>9180</v>
      </c>
    </row>
    <row r="35" spans="2:9" x14ac:dyDescent="0.3">
      <c r="B35" s="83" t="s">
        <v>72</v>
      </c>
      <c r="C35" s="76" t="s">
        <v>351</v>
      </c>
      <c r="D35" s="76" t="s">
        <v>352</v>
      </c>
      <c r="E35" s="76" t="s">
        <v>353</v>
      </c>
      <c r="F35" s="84" t="s">
        <v>69</v>
      </c>
      <c r="G35" s="85">
        <v>36065</v>
      </c>
      <c r="H35" s="84" t="s">
        <v>482</v>
      </c>
      <c r="I35" s="18">
        <v>12000</v>
      </c>
    </row>
    <row r="36" spans="2:9" x14ac:dyDescent="0.3">
      <c r="B36" s="83" t="s">
        <v>75</v>
      </c>
      <c r="C36" s="76" t="s">
        <v>403</v>
      </c>
      <c r="D36" s="76" t="s">
        <v>404</v>
      </c>
      <c r="E36" s="76" t="s">
        <v>405</v>
      </c>
      <c r="F36" s="84" t="s">
        <v>69</v>
      </c>
      <c r="G36" s="85">
        <v>31122</v>
      </c>
      <c r="H36" s="84" t="s">
        <v>310</v>
      </c>
      <c r="I36" s="18">
        <v>9000</v>
      </c>
    </row>
    <row r="37" spans="2:9" x14ac:dyDescent="0.3">
      <c r="B37" s="83" t="s">
        <v>75</v>
      </c>
      <c r="C37" s="76" t="s">
        <v>409</v>
      </c>
      <c r="D37" s="76" t="s">
        <v>366</v>
      </c>
      <c r="E37" s="76" t="s">
        <v>367</v>
      </c>
      <c r="F37" s="84" t="s">
        <v>69</v>
      </c>
      <c r="G37" s="85">
        <v>29787</v>
      </c>
      <c r="H37" s="84" t="s">
        <v>483</v>
      </c>
      <c r="I37" s="18">
        <v>10350</v>
      </c>
    </row>
    <row r="38" spans="2:9" x14ac:dyDescent="0.3">
      <c r="B38" s="83" t="s">
        <v>68</v>
      </c>
      <c r="C38" s="76" t="s">
        <v>424</v>
      </c>
      <c r="D38" s="76" t="s">
        <v>330</v>
      </c>
      <c r="E38" s="76" t="s">
        <v>425</v>
      </c>
      <c r="F38" s="84" t="s">
        <v>479</v>
      </c>
      <c r="G38" s="85">
        <v>30156</v>
      </c>
      <c r="H38" s="84" t="s">
        <v>480</v>
      </c>
      <c r="I38" s="18">
        <v>22080</v>
      </c>
    </row>
    <row r="39" spans="2:9" x14ac:dyDescent="0.3">
      <c r="B39" s="83" t="s">
        <v>68</v>
      </c>
      <c r="C39" s="76" t="s">
        <v>470</v>
      </c>
      <c r="D39" s="76" t="s">
        <v>471</v>
      </c>
      <c r="E39" s="76" t="s">
        <v>334</v>
      </c>
      <c r="F39" s="84" t="s">
        <v>479</v>
      </c>
      <c r="G39" s="85">
        <v>29488</v>
      </c>
      <c r="H39" s="84" t="s">
        <v>310</v>
      </c>
      <c r="I39" s="18">
        <v>32640</v>
      </c>
    </row>
    <row r="40" spans="2:9" x14ac:dyDescent="0.3">
      <c r="B40" s="83" t="s">
        <v>73</v>
      </c>
      <c r="C40" s="76" t="s">
        <v>475</v>
      </c>
      <c r="D40" s="76" t="s">
        <v>476</v>
      </c>
      <c r="E40" s="76" t="s">
        <v>325</v>
      </c>
      <c r="F40" s="84" t="s">
        <v>479</v>
      </c>
      <c r="G40" s="85">
        <v>30602</v>
      </c>
      <c r="H40" s="84" t="s">
        <v>310</v>
      </c>
      <c r="I40" s="18">
        <v>5400</v>
      </c>
    </row>
    <row r="41" spans="2:9" x14ac:dyDescent="0.3">
      <c r="B41" s="83" t="s">
        <v>72</v>
      </c>
      <c r="C41" s="76" t="s">
        <v>478</v>
      </c>
      <c r="D41" s="76" t="s">
        <v>406</v>
      </c>
      <c r="E41" s="76" t="s">
        <v>407</v>
      </c>
      <c r="F41" s="84" t="s">
        <v>69</v>
      </c>
      <c r="G41" s="85">
        <v>26745</v>
      </c>
      <c r="H41" s="84" t="s">
        <v>480</v>
      </c>
      <c r="I41" s="18">
        <v>14250</v>
      </c>
    </row>
    <row r="42" spans="2:9" x14ac:dyDescent="0.3">
      <c r="B42" s="83" t="s">
        <v>68</v>
      </c>
      <c r="C42" s="76" t="s">
        <v>465</v>
      </c>
      <c r="D42" s="76" t="s">
        <v>466</v>
      </c>
      <c r="E42" s="76" t="s">
        <v>467</v>
      </c>
      <c r="F42" s="84" t="s">
        <v>479</v>
      </c>
      <c r="G42" s="85">
        <v>32696</v>
      </c>
      <c r="H42" s="84" t="s">
        <v>481</v>
      </c>
      <c r="I42" s="18">
        <v>22080</v>
      </c>
    </row>
    <row r="43" spans="2:9" x14ac:dyDescent="0.3">
      <c r="B43" s="83" t="s">
        <v>75</v>
      </c>
      <c r="C43" s="76" t="s">
        <v>451</v>
      </c>
      <c r="D43" s="76" t="s">
        <v>452</v>
      </c>
      <c r="E43" s="76" t="s">
        <v>453</v>
      </c>
      <c r="F43" s="84" t="s">
        <v>479</v>
      </c>
      <c r="G43" s="85">
        <v>30564</v>
      </c>
      <c r="H43" s="84" t="s">
        <v>480</v>
      </c>
      <c r="I43" s="18">
        <v>7650</v>
      </c>
    </row>
    <row r="44" spans="2:9" x14ac:dyDescent="0.3">
      <c r="B44" s="83" t="s">
        <v>75</v>
      </c>
      <c r="C44" s="76" t="s">
        <v>336</v>
      </c>
      <c r="D44" s="76" t="s">
        <v>337</v>
      </c>
      <c r="E44" s="76" t="s">
        <v>338</v>
      </c>
      <c r="F44" s="84" t="s">
        <v>69</v>
      </c>
      <c r="G44" s="85">
        <v>38010</v>
      </c>
      <c r="H44" s="84" t="s">
        <v>310</v>
      </c>
      <c r="I44" s="18">
        <v>4542</v>
      </c>
    </row>
    <row r="45" spans="2:9" x14ac:dyDescent="0.3">
      <c r="B45" s="83" t="s">
        <v>73</v>
      </c>
      <c r="C45" s="76" t="s">
        <v>392</v>
      </c>
      <c r="D45" s="76" t="s">
        <v>393</v>
      </c>
      <c r="E45" s="76" t="s">
        <v>394</v>
      </c>
      <c r="F45" s="84" t="s">
        <v>69</v>
      </c>
      <c r="G45" s="85">
        <v>31450</v>
      </c>
      <c r="H45" s="84" t="s">
        <v>481</v>
      </c>
      <c r="I45" s="18">
        <v>2724</v>
      </c>
    </row>
    <row r="46" spans="2:9" x14ac:dyDescent="0.3">
      <c r="B46" s="83" t="s">
        <v>75</v>
      </c>
      <c r="C46" s="76" t="s">
        <v>389</v>
      </c>
      <c r="D46" s="76" t="s">
        <v>390</v>
      </c>
      <c r="E46" s="76" t="s">
        <v>391</v>
      </c>
      <c r="F46" s="84" t="s">
        <v>69</v>
      </c>
      <c r="G46" s="85">
        <v>33048</v>
      </c>
      <c r="H46" s="84" t="s">
        <v>312</v>
      </c>
      <c r="I46" s="18">
        <v>10350</v>
      </c>
    </row>
    <row r="47" spans="2:9" x14ac:dyDescent="0.3">
      <c r="B47" s="83" t="s">
        <v>73</v>
      </c>
      <c r="C47" s="76" t="s">
        <v>365</v>
      </c>
      <c r="D47" s="76" t="s">
        <v>401</v>
      </c>
      <c r="E47" s="76" t="s">
        <v>402</v>
      </c>
      <c r="F47" s="84" t="s">
        <v>69</v>
      </c>
      <c r="G47" s="85">
        <v>33500</v>
      </c>
      <c r="H47" s="84" t="s">
        <v>311</v>
      </c>
      <c r="I47" s="18">
        <v>5400</v>
      </c>
    </row>
    <row r="48" spans="2:9" x14ac:dyDescent="0.3">
      <c r="B48" s="83" t="s">
        <v>73</v>
      </c>
      <c r="C48" s="76" t="s">
        <v>462</v>
      </c>
      <c r="D48" s="76" t="s">
        <v>463</v>
      </c>
      <c r="E48" s="76" t="s">
        <v>464</v>
      </c>
      <c r="F48" s="84" t="s">
        <v>479</v>
      </c>
      <c r="G48" s="85">
        <v>30616</v>
      </c>
      <c r="H48" s="84" t="s">
        <v>484</v>
      </c>
      <c r="I48" s="18">
        <v>9180</v>
      </c>
    </row>
    <row r="49" spans="2:9" x14ac:dyDescent="0.3">
      <c r="B49" s="83" t="s">
        <v>73</v>
      </c>
      <c r="C49" s="76" t="s">
        <v>418</v>
      </c>
      <c r="D49" s="76" t="s">
        <v>419</v>
      </c>
      <c r="E49" s="76" t="s">
        <v>420</v>
      </c>
      <c r="F49" s="84" t="s">
        <v>479</v>
      </c>
      <c r="G49" s="85">
        <v>23430</v>
      </c>
      <c r="H49" s="84" t="s">
        <v>312</v>
      </c>
      <c r="I49" s="18">
        <v>5400</v>
      </c>
    </row>
    <row r="50" spans="2:9" x14ac:dyDescent="0.3">
      <c r="B50" s="83" t="s">
        <v>68</v>
      </c>
      <c r="C50" s="76" t="s">
        <v>357</v>
      </c>
      <c r="D50" s="76" t="s">
        <v>358</v>
      </c>
      <c r="E50" s="76" t="s">
        <v>359</v>
      </c>
      <c r="F50" s="84" t="s">
        <v>69</v>
      </c>
      <c r="G50" s="85">
        <v>34714</v>
      </c>
      <c r="H50" s="84" t="s">
        <v>482</v>
      </c>
      <c r="I50" s="18">
        <v>22080</v>
      </c>
    </row>
    <row r="51" spans="2:9" x14ac:dyDescent="0.3">
      <c r="B51" s="83" t="s">
        <v>68</v>
      </c>
      <c r="C51" s="76" t="s">
        <v>380</v>
      </c>
      <c r="D51" s="76" t="s">
        <v>381</v>
      </c>
      <c r="E51" s="76" t="s">
        <v>382</v>
      </c>
      <c r="F51" s="84" t="s">
        <v>69</v>
      </c>
      <c r="G51" s="85">
        <v>29463</v>
      </c>
      <c r="H51" s="84" t="s">
        <v>482</v>
      </c>
      <c r="I51" s="18">
        <v>19200</v>
      </c>
    </row>
    <row r="52" spans="2:9" x14ac:dyDescent="0.3">
      <c r="B52" s="83" t="s">
        <v>72</v>
      </c>
      <c r="C52" s="76" t="s">
        <v>472</v>
      </c>
      <c r="D52" s="76" t="s">
        <v>473</v>
      </c>
      <c r="E52" s="76" t="s">
        <v>474</v>
      </c>
      <c r="F52" s="84" t="s">
        <v>479</v>
      </c>
      <c r="G52" s="85">
        <v>30613</v>
      </c>
      <c r="H52" s="84" t="s">
        <v>481</v>
      </c>
      <c r="I52" s="18">
        <v>15000</v>
      </c>
    </row>
    <row r="53" spans="2:9" x14ac:dyDescent="0.3">
      <c r="B53" s="83" t="s">
        <v>75</v>
      </c>
      <c r="C53" s="76" t="s">
        <v>374</v>
      </c>
      <c r="D53" s="76" t="s">
        <v>375</v>
      </c>
      <c r="E53" s="76" t="s">
        <v>376</v>
      </c>
      <c r="F53" s="84" t="s">
        <v>69</v>
      </c>
      <c r="G53" s="85">
        <v>29492</v>
      </c>
      <c r="H53" s="84" t="s">
        <v>484</v>
      </c>
      <c r="I53" s="18">
        <v>13950</v>
      </c>
    </row>
    <row r="54" spans="2:9" x14ac:dyDescent="0.3">
      <c r="B54" s="83" t="s">
        <v>75</v>
      </c>
      <c r="C54" s="76" t="s">
        <v>354</v>
      </c>
      <c r="D54" s="76" t="s">
        <v>355</v>
      </c>
      <c r="E54" s="76" t="s">
        <v>356</v>
      </c>
      <c r="F54" s="84" t="s">
        <v>69</v>
      </c>
      <c r="G54" s="85">
        <v>35013</v>
      </c>
      <c r="H54" s="84" t="s">
        <v>310</v>
      </c>
      <c r="I54" s="18">
        <v>10800</v>
      </c>
    </row>
    <row r="55" spans="2:9" x14ac:dyDescent="0.3">
      <c r="B55" s="83" t="s">
        <v>73</v>
      </c>
      <c r="C55" s="76" t="s">
        <v>459</v>
      </c>
      <c r="D55" s="76" t="s">
        <v>460</v>
      </c>
      <c r="E55" s="76" t="s">
        <v>461</v>
      </c>
      <c r="F55" s="84" t="s">
        <v>479</v>
      </c>
      <c r="G55" s="85">
        <v>31268</v>
      </c>
      <c r="H55" s="84" t="s">
        <v>481</v>
      </c>
      <c r="I55" s="18">
        <v>6210</v>
      </c>
    </row>
    <row r="56" spans="2:9" ht="16.2" thickBot="1" x14ac:dyDescent="0.35">
      <c r="B56" s="86" t="s">
        <v>68</v>
      </c>
      <c r="C56" s="82" t="s">
        <v>429</v>
      </c>
      <c r="D56" s="82" t="s">
        <v>430</v>
      </c>
      <c r="E56" s="82" t="s">
        <v>431</v>
      </c>
      <c r="F56" s="87" t="s">
        <v>479</v>
      </c>
      <c r="G56" s="88">
        <v>29778</v>
      </c>
      <c r="H56" s="87" t="s">
        <v>312</v>
      </c>
      <c r="I56" s="22">
        <v>23040</v>
      </c>
    </row>
  </sheetData>
  <sortState xmlns:xlrd2="http://schemas.microsoft.com/office/spreadsheetml/2017/richdata2" ref="B7:I56">
    <sortCondition ref="C6"/>
  </sortState>
  <conditionalFormatting sqref="C7:C5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1036-C5E5-4629-9182-CBE24D9C8C2D}">
  <dimension ref="A1:I93"/>
  <sheetViews>
    <sheetView zoomScaleNormal="100" workbookViewId="0"/>
  </sheetViews>
  <sheetFormatPr defaultColWidth="9.109375" defaultRowHeight="13.2" x14ac:dyDescent="0.25"/>
  <cols>
    <col min="1" max="1" width="3.6640625" style="59" customWidth="1"/>
    <col min="2" max="2" width="35.109375" style="59" bestFit="1" customWidth="1"/>
    <col min="3" max="3" width="12.6640625" style="60" bestFit="1" customWidth="1"/>
    <col min="4" max="4" width="18.5546875" style="60" bestFit="1" customWidth="1"/>
    <col min="5" max="5" width="10.109375" style="60" bestFit="1" customWidth="1"/>
    <col min="6" max="6" width="13.44140625" style="60" bestFit="1" customWidth="1"/>
    <col min="7" max="7" width="9" style="60" bestFit="1" customWidth="1"/>
    <col min="8" max="16384" width="9.109375" style="59"/>
  </cols>
  <sheetData>
    <row r="1" spans="1:9" x14ac:dyDescent="0.25">
      <c r="A1" s="90"/>
      <c r="B1" s="90"/>
      <c r="C1" s="71"/>
      <c r="D1" s="71"/>
      <c r="E1" s="71"/>
      <c r="F1" s="71"/>
      <c r="G1" s="71"/>
    </row>
    <row r="2" spans="1:9" ht="18" x14ac:dyDescent="0.35">
      <c r="A2" s="159"/>
      <c r="B2" s="2" t="s">
        <v>9</v>
      </c>
      <c r="D2" s="71"/>
      <c r="E2" s="71"/>
      <c r="F2" s="71"/>
      <c r="G2" s="71"/>
    </row>
    <row r="3" spans="1:9" ht="18" x14ac:dyDescent="0.35">
      <c r="A3" s="159"/>
      <c r="B3" s="3" t="s">
        <v>733</v>
      </c>
      <c r="D3" s="71"/>
      <c r="E3" s="71"/>
      <c r="F3" s="71"/>
      <c r="G3" s="71"/>
    </row>
    <row r="4" spans="1:9" ht="18" x14ac:dyDescent="0.35">
      <c r="A4" s="159"/>
      <c r="B4" s="3" t="s">
        <v>485</v>
      </c>
      <c r="D4" s="71"/>
      <c r="E4" s="71"/>
      <c r="F4" s="71"/>
      <c r="G4" s="71"/>
    </row>
    <row r="5" spans="1:9" ht="13.8" thickBot="1" x14ac:dyDescent="0.3">
      <c r="B5" s="90"/>
      <c r="C5" s="71"/>
      <c r="D5" s="71"/>
      <c r="E5" s="71"/>
      <c r="F5" s="71"/>
      <c r="G5" s="71"/>
    </row>
    <row r="6" spans="1:9" ht="35.25" customHeight="1" x14ac:dyDescent="0.35">
      <c r="A6" s="158"/>
      <c r="B6" s="92" t="s">
        <v>308</v>
      </c>
      <c r="C6" s="93" t="s">
        <v>85</v>
      </c>
      <c r="D6" s="93" t="s">
        <v>241</v>
      </c>
      <c r="E6" s="93" t="s">
        <v>79</v>
      </c>
      <c r="F6" s="93" t="s">
        <v>242</v>
      </c>
      <c r="G6" s="72" t="s">
        <v>307</v>
      </c>
      <c r="H6" s="68"/>
      <c r="I6" s="61"/>
    </row>
    <row r="7" spans="1:9" ht="18" x14ac:dyDescent="0.35">
      <c r="A7" s="159"/>
      <c r="B7" s="161" t="s">
        <v>313</v>
      </c>
      <c r="C7" s="160" t="str">
        <f ca="1">"01.10."&amp;YEAR(TODAY())</f>
        <v>01.10.2022</v>
      </c>
      <c r="D7" s="70" t="s">
        <v>304</v>
      </c>
      <c r="E7" s="70" t="s">
        <v>310</v>
      </c>
      <c r="F7" s="70">
        <v>2</v>
      </c>
      <c r="G7" s="73">
        <v>60000</v>
      </c>
      <c r="H7" s="68"/>
      <c r="I7" s="62"/>
    </row>
    <row r="8" spans="1:9" ht="18" x14ac:dyDescent="0.35">
      <c r="A8" s="159"/>
      <c r="B8" s="161" t="s">
        <v>320</v>
      </c>
      <c r="C8" s="160" t="str">
        <f ca="1">"02.10."&amp;YEAR(TODAY())</f>
        <v>02.10.2022</v>
      </c>
      <c r="D8" s="70" t="s">
        <v>302</v>
      </c>
      <c r="E8" s="70" t="s">
        <v>312</v>
      </c>
      <c r="F8" s="70">
        <v>4</v>
      </c>
      <c r="G8" s="73">
        <v>52000</v>
      </c>
      <c r="H8" s="68"/>
      <c r="I8" s="62"/>
    </row>
    <row r="9" spans="1:9" ht="18" x14ac:dyDescent="0.35">
      <c r="A9" s="159"/>
      <c r="B9" s="161" t="s">
        <v>320</v>
      </c>
      <c r="C9" s="160" t="str">
        <f ca="1">"03.10."&amp;YEAR(TODAY())</f>
        <v>03.10.2022</v>
      </c>
      <c r="D9" s="70" t="s">
        <v>309</v>
      </c>
      <c r="E9" s="70" t="s">
        <v>312</v>
      </c>
      <c r="F9" s="70">
        <v>1</v>
      </c>
      <c r="G9" s="73">
        <v>2500</v>
      </c>
      <c r="H9" s="68"/>
      <c r="I9" s="62"/>
    </row>
    <row r="10" spans="1:9" ht="15" x14ac:dyDescent="0.25">
      <c r="A10" s="159"/>
      <c r="B10" s="161" t="s">
        <v>313</v>
      </c>
      <c r="C10" s="160" t="str">
        <f ca="1">"04.10."&amp;YEAR(TODAY())</f>
        <v>04.10.2022</v>
      </c>
      <c r="D10" s="70" t="s">
        <v>309</v>
      </c>
      <c r="E10" s="70" t="s">
        <v>310</v>
      </c>
      <c r="F10" s="70">
        <v>2</v>
      </c>
      <c r="G10" s="73">
        <v>60000</v>
      </c>
      <c r="H10" s="68"/>
    </row>
    <row r="11" spans="1:9" ht="15" x14ac:dyDescent="0.25">
      <c r="A11" s="159"/>
      <c r="B11" s="161" t="s">
        <v>315</v>
      </c>
      <c r="C11" s="160" t="str">
        <f ca="1">"05.10."&amp;YEAR(TODAY())</f>
        <v>05.10.2022</v>
      </c>
      <c r="D11" s="70" t="s">
        <v>304</v>
      </c>
      <c r="E11" s="70" t="s">
        <v>310</v>
      </c>
      <c r="F11" s="70">
        <v>2</v>
      </c>
      <c r="G11" s="73">
        <v>12000</v>
      </c>
      <c r="H11" s="68"/>
    </row>
    <row r="12" spans="1:9" ht="15" x14ac:dyDescent="0.25">
      <c r="A12" s="159"/>
      <c r="B12" s="161" t="s">
        <v>313</v>
      </c>
      <c r="C12" s="160" t="str">
        <f ca="1">"06.10."&amp;YEAR(TODAY())</f>
        <v>06.10.2022</v>
      </c>
      <c r="D12" s="70" t="s">
        <v>304</v>
      </c>
      <c r="E12" s="70" t="s">
        <v>310</v>
      </c>
      <c r="F12" s="70">
        <v>3</v>
      </c>
      <c r="G12" s="73">
        <v>15000</v>
      </c>
      <c r="H12" s="68"/>
    </row>
    <row r="13" spans="1:9" ht="15" x14ac:dyDescent="0.25">
      <c r="A13" s="159"/>
      <c r="B13" s="161" t="s">
        <v>314</v>
      </c>
      <c r="C13" s="160" t="str">
        <f ca="1">"07.10."&amp;YEAR(TODAY())</f>
        <v>07.10.2022</v>
      </c>
      <c r="D13" s="70" t="s">
        <v>304</v>
      </c>
      <c r="E13" s="70" t="s">
        <v>311</v>
      </c>
      <c r="F13" s="70">
        <v>3</v>
      </c>
      <c r="G13" s="73">
        <v>100000</v>
      </c>
      <c r="H13" s="68"/>
    </row>
    <row r="14" spans="1:9" ht="15" x14ac:dyDescent="0.25">
      <c r="A14" s="159"/>
      <c r="B14" s="161" t="s">
        <v>315</v>
      </c>
      <c r="C14" s="160" t="str">
        <f ca="1">"08.10."&amp;YEAR(TODAY())</f>
        <v>08.10.2022</v>
      </c>
      <c r="D14" s="70" t="s">
        <v>304</v>
      </c>
      <c r="E14" s="70" t="s">
        <v>310</v>
      </c>
      <c r="F14" s="70">
        <v>2</v>
      </c>
      <c r="G14" s="73">
        <v>12000</v>
      </c>
      <c r="H14" s="68"/>
    </row>
    <row r="15" spans="1:9" ht="15" x14ac:dyDescent="0.25">
      <c r="A15" s="159"/>
      <c r="B15" s="161" t="s">
        <v>313</v>
      </c>
      <c r="C15" s="160" t="str">
        <f ca="1">"09.10."&amp;YEAR(TODAY())</f>
        <v>09.10.2022</v>
      </c>
      <c r="D15" s="70" t="s">
        <v>303</v>
      </c>
      <c r="E15" s="70" t="s">
        <v>310</v>
      </c>
      <c r="F15" s="70">
        <v>3</v>
      </c>
      <c r="G15" s="73">
        <v>15000</v>
      </c>
      <c r="H15" s="68"/>
    </row>
    <row r="16" spans="1:9" ht="15" x14ac:dyDescent="0.25">
      <c r="A16" s="159"/>
      <c r="B16" s="161" t="s">
        <v>314</v>
      </c>
      <c r="C16" s="160" t="str">
        <f ca="1">"10.10."&amp;YEAR(TODAY())</f>
        <v>10.10.2022</v>
      </c>
      <c r="D16" s="70" t="s">
        <v>303</v>
      </c>
      <c r="E16" s="70" t="s">
        <v>311</v>
      </c>
      <c r="F16" s="70">
        <v>3</v>
      </c>
      <c r="G16" s="73">
        <v>100000</v>
      </c>
      <c r="H16" s="68"/>
    </row>
    <row r="17" spans="1:9" ht="15" x14ac:dyDescent="0.25">
      <c r="A17" s="159"/>
      <c r="B17" s="161" t="s">
        <v>313</v>
      </c>
      <c r="C17" s="160" t="str">
        <f ca="1">"11.10."&amp;YEAR(TODAY())</f>
        <v>11.10.2022</v>
      </c>
      <c r="D17" s="70" t="s">
        <v>309</v>
      </c>
      <c r="E17" s="70" t="s">
        <v>310</v>
      </c>
      <c r="F17" s="70">
        <v>6</v>
      </c>
      <c r="G17" s="73">
        <v>60000</v>
      </c>
      <c r="H17" s="68"/>
    </row>
    <row r="18" spans="1:9" ht="15" x14ac:dyDescent="0.25">
      <c r="A18" s="159"/>
      <c r="B18" s="161" t="s">
        <v>322</v>
      </c>
      <c r="C18" s="160" t="str">
        <f ca="1">"12.10."&amp;YEAR(TODAY())</f>
        <v>12.10.2022</v>
      </c>
      <c r="D18" s="70" t="s">
        <v>309</v>
      </c>
      <c r="E18" s="70" t="s">
        <v>311</v>
      </c>
      <c r="F18" s="70">
        <v>3</v>
      </c>
      <c r="G18" s="73">
        <v>12000</v>
      </c>
      <c r="H18" s="68"/>
    </row>
    <row r="19" spans="1:9" ht="15" x14ac:dyDescent="0.25">
      <c r="A19" s="159"/>
      <c r="B19" s="161" t="s">
        <v>319</v>
      </c>
      <c r="C19" s="160" t="str">
        <f ca="1">"13.10."&amp;YEAR(TODAY())</f>
        <v>13.10.2022</v>
      </c>
      <c r="D19" s="70" t="s">
        <v>304</v>
      </c>
      <c r="E19" s="70" t="s">
        <v>312</v>
      </c>
      <c r="F19" s="70">
        <v>2</v>
      </c>
      <c r="G19" s="73">
        <v>75000</v>
      </c>
      <c r="H19" s="68"/>
      <c r="I19" s="63"/>
    </row>
    <row r="20" spans="1:9" ht="15" x14ac:dyDescent="0.25">
      <c r="A20" s="159"/>
      <c r="B20" s="161" t="s">
        <v>313</v>
      </c>
      <c r="C20" s="160" t="str">
        <f ca="1">"14.10."&amp;YEAR(TODAY())</f>
        <v>14.10.2022</v>
      </c>
      <c r="D20" s="70" t="s">
        <v>304</v>
      </c>
      <c r="E20" s="70" t="s">
        <v>310</v>
      </c>
      <c r="F20" s="70">
        <v>6</v>
      </c>
      <c r="G20" s="73">
        <v>60000</v>
      </c>
      <c r="H20" s="68"/>
    </row>
    <row r="21" spans="1:9" ht="15" x14ac:dyDescent="0.25">
      <c r="A21" s="159"/>
      <c r="B21" s="161" t="s">
        <v>322</v>
      </c>
      <c r="C21" s="160" t="str">
        <f ca="1">"15.10."&amp;YEAR(TODAY())</f>
        <v>15.10.2022</v>
      </c>
      <c r="D21" s="70" t="s">
        <v>305</v>
      </c>
      <c r="E21" s="70" t="s">
        <v>311</v>
      </c>
      <c r="F21" s="70">
        <v>3</v>
      </c>
      <c r="G21" s="73">
        <v>12000</v>
      </c>
      <c r="H21" s="68"/>
    </row>
    <row r="22" spans="1:9" ht="15" x14ac:dyDescent="0.25">
      <c r="A22" s="159"/>
      <c r="B22" s="161" t="s">
        <v>319</v>
      </c>
      <c r="C22" s="160" t="str">
        <f ca="1">"16.10."&amp;YEAR(TODAY())</f>
        <v>16.10.2022</v>
      </c>
      <c r="D22" s="70" t="s">
        <v>305</v>
      </c>
      <c r="E22" s="70" t="s">
        <v>312</v>
      </c>
      <c r="F22" s="70">
        <v>2</v>
      </c>
      <c r="G22" s="73">
        <v>75000</v>
      </c>
      <c r="H22" s="68"/>
    </row>
    <row r="23" spans="1:9" ht="15" x14ac:dyDescent="0.25">
      <c r="A23" s="159"/>
      <c r="B23" s="161" t="s">
        <v>319</v>
      </c>
      <c r="C23" s="160" t="str">
        <f ca="1">"17.10."&amp;YEAR(TODAY())</f>
        <v>17.10.2022</v>
      </c>
      <c r="D23" s="70" t="s">
        <v>303</v>
      </c>
      <c r="E23" s="70" t="s">
        <v>312</v>
      </c>
      <c r="F23" s="70">
        <v>6</v>
      </c>
      <c r="G23" s="73">
        <v>60000</v>
      </c>
      <c r="H23" s="68"/>
    </row>
    <row r="24" spans="1:9" ht="15" x14ac:dyDescent="0.25">
      <c r="A24" s="159"/>
      <c r="B24" s="161" t="s">
        <v>315</v>
      </c>
      <c r="C24" s="160" t="str">
        <f ca="1">"18.10."&amp;YEAR(TODAY())</f>
        <v>18.10.2022</v>
      </c>
      <c r="D24" s="70" t="s">
        <v>303</v>
      </c>
      <c r="E24" s="70" t="s">
        <v>306</v>
      </c>
      <c r="F24" s="70">
        <v>5</v>
      </c>
      <c r="G24" s="73">
        <v>15000</v>
      </c>
      <c r="H24" s="68"/>
    </row>
    <row r="25" spans="1:9" ht="15" x14ac:dyDescent="0.25">
      <c r="A25" s="159"/>
      <c r="B25" s="161" t="s">
        <v>317</v>
      </c>
      <c r="C25" s="160" t="str">
        <f ca="1">"19.10."&amp;YEAR(TODAY())</f>
        <v>19.10.2022</v>
      </c>
      <c r="D25" s="70" t="s">
        <v>303</v>
      </c>
      <c r="E25" s="70" t="s">
        <v>310</v>
      </c>
      <c r="F25" s="70">
        <v>4</v>
      </c>
      <c r="G25" s="73">
        <v>120000</v>
      </c>
      <c r="H25" s="68"/>
    </row>
    <row r="26" spans="1:9" ht="15" x14ac:dyDescent="0.25">
      <c r="A26" s="159"/>
      <c r="B26" s="161" t="s">
        <v>319</v>
      </c>
      <c r="C26" s="160" t="str">
        <f ca="1">"20.10."&amp;YEAR(TODAY())</f>
        <v>20.10.2022</v>
      </c>
      <c r="D26" s="70" t="s">
        <v>303</v>
      </c>
      <c r="E26" s="70" t="s">
        <v>312</v>
      </c>
      <c r="F26" s="70">
        <v>6</v>
      </c>
      <c r="G26" s="73">
        <v>60000</v>
      </c>
      <c r="H26" s="68"/>
    </row>
    <row r="27" spans="1:9" ht="15" x14ac:dyDescent="0.25">
      <c r="A27" s="159"/>
      <c r="B27" s="161" t="s">
        <v>315</v>
      </c>
      <c r="C27" s="160" t="str">
        <f ca="1">"21.10."&amp;YEAR(TODAY())</f>
        <v>21.10.2022</v>
      </c>
      <c r="D27" s="70" t="s">
        <v>303</v>
      </c>
      <c r="E27" s="70" t="s">
        <v>306</v>
      </c>
      <c r="F27" s="70">
        <v>5</v>
      </c>
      <c r="G27" s="73">
        <v>15000</v>
      </c>
      <c r="H27" s="68"/>
    </row>
    <row r="28" spans="1:9" ht="15" x14ac:dyDescent="0.25">
      <c r="A28" s="159"/>
      <c r="B28" s="161" t="s">
        <v>317</v>
      </c>
      <c r="C28" s="160" t="str">
        <f ca="1">"22.10."&amp;YEAR(TODAY())</f>
        <v>22.10.2022</v>
      </c>
      <c r="D28" s="70" t="s">
        <v>303</v>
      </c>
      <c r="E28" s="70" t="s">
        <v>310</v>
      </c>
      <c r="F28" s="70">
        <v>4</v>
      </c>
      <c r="G28" s="73">
        <v>120000</v>
      </c>
      <c r="H28" s="68"/>
    </row>
    <row r="29" spans="1:9" ht="15" x14ac:dyDescent="0.25">
      <c r="A29" s="159"/>
      <c r="B29" s="161" t="s">
        <v>320</v>
      </c>
      <c r="C29" s="160" t="str">
        <f ca="1">"23.10."&amp;YEAR(TODAY())</f>
        <v>23.10.2022</v>
      </c>
      <c r="D29" s="70" t="s">
        <v>304</v>
      </c>
      <c r="E29" s="70" t="s">
        <v>312</v>
      </c>
      <c r="F29" s="70">
        <v>3</v>
      </c>
      <c r="G29" s="73">
        <v>42000</v>
      </c>
      <c r="H29" s="68"/>
    </row>
    <row r="30" spans="1:9" ht="15" x14ac:dyDescent="0.25">
      <c r="A30" s="159"/>
      <c r="B30" s="161" t="s">
        <v>322</v>
      </c>
      <c r="C30" s="160" t="str">
        <f ca="1">"24.10."&amp;YEAR(TODAY())</f>
        <v>24.10.2022</v>
      </c>
      <c r="D30" s="70" t="s">
        <v>302</v>
      </c>
      <c r="E30" s="70" t="s">
        <v>311</v>
      </c>
      <c r="F30" s="70">
        <v>4</v>
      </c>
      <c r="G30" s="73">
        <v>28000</v>
      </c>
      <c r="H30" s="68"/>
    </row>
    <row r="31" spans="1:9" ht="15" x14ac:dyDescent="0.25">
      <c r="A31" s="159"/>
      <c r="B31" s="161" t="s">
        <v>315</v>
      </c>
      <c r="C31" s="160" t="str">
        <f ca="1">"25.10."&amp;YEAR(TODAY())</f>
        <v>25.10.2022</v>
      </c>
      <c r="D31" s="70" t="s">
        <v>309</v>
      </c>
      <c r="E31" s="70" t="s">
        <v>310</v>
      </c>
      <c r="F31" s="70">
        <v>5</v>
      </c>
      <c r="G31" s="73">
        <v>100000</v>
      </c>
      <c r="H31" s="68"/>
    </row>
    <row r="32" spans="1:9" ht="15" x14ac:dyDescent="0.25">
      <c r="A32" s="159"/>
      <c r="B32" s="161" t="s">
        <v>320</v>
      </c>
      <c r="C32" s="160" t="str">
        <f ca="1">"26.10."&amp;YEAR(TODAY())</f>
        <v>26.10.2022</v>
      </c>
      <c r="D32" s="70" t="s">
        <v>309</v>
      </c>
      <c r="E32" s="70" t="s">
        <v>312</v>
      </c>
      <c r="F32" s="70">
        <v>3</v>
      </c>
      <c r="G32" s="73">
        <v>42000</v>
      </c>
      <c r="H32" s="68"/>
    </row>
    <row r="33" spans="1:8" ht="15" x14ac:dyDescent="0.25">
      <c r="A33" s="159"/>
      <c r="B33" s="161" t="s">
        <v>322</v>
      </c>
      <c r="C33" s="160" t="str">
        <f ca="1">"27.10."&amp;YEAR(TODAY())</f>
        <v>27.10.2022</v>
      </c>
      <c r="D33" s="70" t="s">
        <v>304</v>
      </c>
      <c r="E33" s="70" t="s">
        <v>311</v>
      </c>
      <c r="F33" s="70">
        <v>4</v>
      </c>
      <c r="G33" s="73">
        <v>28000</v>
      </c>
      <c r="H33" s="68"/>
    </row>
    <row r="34" spans="1:8" ht="15" x14ac:dyDescent="0.25">
      <c r="A34" s="159"/>
      <c r="B34" s="161" t="s">
        <v>315</v>
      </c>
      <c r="C34" s="160" t="str">
        <f ca="1">"28.10."&amp;YEAR(TODAY())</f>
        <v>28.10.2022</v>
      </c>
      <c r="D34" s="70" t="s">
        <v>302</v>
      </c>
      <c r="E34" s="70" t="s">
        <v>310</v>
      </c>
      <c r="F34" s="70">
        <v>5</v>
      </c>
      <c r="G34" s="73">
        <v>100000</v>
      </c>
      <c r="H34" s="68"/>
    </row>
    <row r="35" spans="1:8" ht="15" x14ac:dyDescent="0.25">
      <c r="A35" s="159"/>
      <c r="B35" s="161" t="s">
        <v>315</v>
      </c>
      <c r="C35" s="160" t="str">
        <f ca="1">"29.10."&amp;YEAR(TODAY())</f>
        <v>29.10.2022</v>
      </c>
      <c r="D35" s="70" t="s">
        <v>304</v>
      </c>
      <c r="E35" s="70" t="s">
        <v>310</v>
      </c>
      <c r="F35" s="70">
        <v>5</v>
      </c>
      <c r="G35" s="73">
        <v>40000</v>
      </c>
      <c r="H35" s="68"/>
    </row>
    <row r="36" spans="1:8" ht="15" x14ac:dyDescent="0.25">
      <c r="A36" s="159"/>
      <c r="B36" s="161" t="s">
        <v>316</v>
      </c>
      <c r="C36" s="160" t="str">
        <f ca="1">"01.11."&amp;YEAR(TODAY())</f>
        <v>01.11.2022</v>
      </c>
      <c r="D36" s="70" t="s">
        <v>302</v>
      </c>
      <c r="E36" s="70" t="s">
        <v>312</v>
      </c>
      <c r="F36" s="70">
        <v>7</v>
      </c>
      <c r="G36" s="73">
        <v>14000</v>
      </c>
      <c r="H36" s="68"/>
    </row>
    <row r="37" spans="1:8" ht="15" x14ac:dyDescent="0.25">
      <c r="A37" s="159"/>
      <c r="B37" s="161" t="s">
        <v>315</v>
      </c>
      <c r="C37" s="160" t="str">
        <f ca="1">"02.11."&amp;YEAR(TODAY())</f>
        <v>02.11.2022</v>
      </c>
      <c r="D37" s="70" t="s">
        <v>304</v>
      </c>
      <c r="E37" s="70" t="s">
        <v>310</v>
      </c>
      <c r="F37" s="70">
        <v>6</v>
      </c>
      <c r="G37" s="73">
        <v>180000</v>
      </c>
      <c r="H37" s="68"/>
    </row>
    <row r="38" spans="1:8" ht="15" x14ac:dyDescent="0.25">
      <c r="A38" s="159"/>
      <c r="B38" s="161" t="s">
        <v>315</v>
      </c>
      <c r="C38" s="160" t="str">
        <f ca="1">"03.11."&amp;YEAR(TODAY())</f>
        <v>03.11.2022</v>
      </c>
      <c r="D38" s="70" t="s">
        <v>304</v>
      </c>
      <c r="E38" s="70" t="s">
        <v>310</v>
      </c>
      <c r="F38" s="70">
        <v>5</v>
      </c>
      <c r="G38" s="73">
        <v>40000</v>
      </c>
      <c r="H38" s="68"/>
    </row>
    <row r="39" spans="1:8" ht="15" x14ac:dyDescent="0.25">
      <c r="A39" s="159"/>
      <c r="B39" s="161" t="s">
        <v>316</v>
      </c>
      <c r="C39" s="160" t="str">
        <f ca="1">"04.11."&amp;YEAR(TODAY())</f>
        <v>04.11.2022</v>
      </c>
      <c r="D39" s="70" t="s">
        <v>309</v>
      </c>
      <c r="E39" s="70" t="s">
        <v>312</v>
      </c>
      <c r="F39" s="70">
        <v>7</v>
      </c>
      <c r="G39" s="73">
        <v>14000</v>
      </c>
      <c r="H39" s="68"/>
    </row>
    <row r="40" spans="1:8" ht="15" x14ac:dyDescent="0.25">
      <c r="A40" s="159"/>
      <c r="B40" s="161" t="s">
        <v>315</v>
      </c>
      <c r="C40" s="160" t="str">
        <f ca="1">"05.11."&amp;YEAR(TODAY())</f>
        <v>05.11.2022</v>
      </c>
      <c r="D40" s="70" t="s">
        <v>309</v>
      </c>
      <c r="E40" s="70" t="s">
        <v>310</v>
      </c>
      <c r="F40" s="70">
        <v>6</v>
      </c>
      <c r="G40" s="73">
        <v>180000</v>
      </c>
      <c r="H40" s="68"/>
    </row>
    <row r="41" spans="1:8" ht="15" x14ac:dyDescent="0.25">
      <c r="A41" s="159"/>
      <c r="B41" s="161" t="s">
        <v>315</v>
      </c>
      <c r="C41" s="160" t="str">
        <f ca="1">"06.11."&amp;YEAR(TODAY())</f>
        <v>06.11.2022</v>
      </c>
      <c r="D41" s="70" t="s">
        <v>309</v>
      </c>
      <c r="E41" s="70" t="s">
        <v>310</v>
      </c>
      <c r="F41" s="70">
        <v>4</v>
      </c>
      <c r="G41" s="73">
        <v>48000</v>
      </c>
      <c r="H41" s="68"/>
    </row>
    <row r="42" spans="1:8" ht="15" x14ac:dyDescent="0.25">
      <c r="A42" s="159"/>
      <c r="B42" s="161" t="s">
        <v>315</v>
      </c>
      <c r="C42" s="160" t="str">
        <f ca="1">"07.11."&amp;YEAR(TODAY())</f>
        <v>07.11.2022</v>
      </c>
      <c r="D42" s="70" t="s">
        <v>309</v>
      </c>
      <c r="E42" s="70" t="s">
        <v>310</v>
      </c>
      <c r="F42" s="70">
        <v>1</v>
      </c>
      <c r="G42" s="73">
        <v>2000</v>
      </c>
      <c r="H42" s="68"/>
    </row>
    <row r="43" spans="1:8" ht="15" x14ac:dyDescent="0.25">
      <c r="A43" s="159"/>
      <c r="B43" s="161" t="s">
        <v>316</v>
      </c>
      <c r="C43" s="160" t="str">
        <f ca="1">"08.11."&amp;YEAR(TODAY())</f>
        <v>08.11.2022</v>
      </c>
      <c r="D43" s="70" t="s">
        <v>304</v>
      </c>
      <c r="E43" s="70" t="s">
        <v>312</v>
      </c>
      <c r="F43" s="70">
        <v>4</v>
      </c>
      <c r="G43" s="73">
        <v>88000</v>
      </c>
      <c r="H43" s="68"/>
    </row>
    <row r="44" spans="1:8" ht="15" x14ac:dyDescent="0.25">
      <c r="A44" s="159"/>
      <c r="B44" s="161" t="s">
        <v>315</v>
      </c>
      <c r="C44" s="160" t="str">
        <f ca="1">"09.11."&amp;YEAR(TODAY())</f>
        <v>09.11.2022</v>
      </c>
      <c r="D44" s="70" t="s">
        <v>309</v>
      </c>
      <c r="E44" s="70" t="s">
        <v>310</v>
      </c>
      <c r="F44" s="70">
        <v>4</v>
      </c>
      <c r="G44" s="73">
        <v>48000</v>
      </c>
      <c r="H44" s="68"/>
    </row>
    <row r="45" spans="1:8" ht="15" x14ac:dyDescent="0.25">
      <c r="A45" s="159"/>
      <c r="B45" s="161" t="s">
        <v>315</v>
      </c>
      <c r="C45" s="160" t="str">
        <f ca="1">"10.11."&amp;YEAR(TODAY())</f>
        <v>10.11.2022</v>
      </c>
      <c r="D45" s="70" t="s">
        <v>304</v>
      </c>
      <c r="E45" s="70" t="s">
        <v>310</v>
      </c>
      <c r="F45" s="70">
        <v>1</v>
      </c>
      <c r="G45" s="73">
        <v>2000</v>
      </c>
      <c r="H45" s="68"/>
    </row>
    <row r="46" spans="1:8" ht="15" x14ac:dyDescent="0.25">
      <c r="A46" s="159"/>
      <c r="B46" s="161" t="s">
        <v>316</v>
      </c>
      <c r="C46" s="160" t="str">
        <f ca="1">"11.11."&amp;YEAR(TODAY())</f>
        <v>11.11.2022</v>
      </c>
      <c r="D46" s="70" t="s">
        <v>309</v>
      </c>
      <c r="E46" s="70" t="s">
        <v>312</v>
      </c>
      <c r="F46" s="70">
        <v>4</v>
      </c>
      <c r="G46" s="73">
        <v>88000</v>
      </c>
      <c r="H46" s="68"/>
    </row>
    <row r="47" spans="1:8" ht="15" x14ac:dyDescent="0.25">
      <c r="A47" s="159"/>
      <c r="B47" s="161" t="s">
        <v>320</v>
      </c>
      <c r="C47" s="160" t="str">
        <f ca="1">"12.11."&amp;YEAR(TODAY())</f>
        <v>12.11.2022</v>
      </c>
      <c r="D47" s="70" t="s">
        <v>304</v>
      </c>
      <c r="E47" s="70" t="s">
        <v>312</v>
      </c>
      <c r="F47" s="70">
        <v>5</v>
      </c>
      <c r="G47" s="73">
        <v>65000</v>
      </c>
      <c r="H47" s="68"/>
    </row>
    <row r="48" spans="1:8" ht="15" x14ac:dyDescent="0.25">
      <c r="A48" s="159"/>
      <c r="B48" s="161" t="s">
        <v>315</v>
      </c>
      <c r="C48" s="160" t="str">
        <f ca="1">"13.11."&amp;YEAR(TODAY())</f>
        <v>13.11.2022</v>
      </c>
      <c r="D48" s="70" t="s">
        <v>303</v>
      </c>
      <c r="E48" s="70" t="s">
        <v>310</v>
      </c>
      <c r="F48" s="70">
        <v>3</v>
      </c>
      <c r="G48" s="73">
        <v>6000</v>
      </c>
      <c r="H48" s="68"/>
    </row>
    <row r="49" spans="1:8" ht="15" x14ac:dyDescent="0.25">
      <c r="A49" s="159"/>
      <c r="B49" s="161" t="s">
        <v>317</v>
      </c>
      <c r="C49" s="160" t="str">
        <f ca="1">"14.11."&amp;YEAR(TODAY())</f>
        <v>14.11.2022</v>
      </c>
      <c r="D49" s="70" t="s">
        <v>304</v>
      </c>
      <c r="E49" s="70" t="s">
        <v>310</v>
      </c>
      <c r="F49" s="70">
        <v>10</v>
      </c>
      <c r="G49" s="73">
        <v>200000</v>
      </c>
      <c r="H49" s="68"/>
    </row>
    <row r="50" spans="1:8" ht="15" x14ac:dyDescent="0.25">
      <c r="A50" s="159"/>
      <c r="B50" s="161" t="s">
        <v>320</v>
      </c>
      <c r="C50" s="160" t="str">
        <f ca="1">"15.11."&amp;YEAR(TODAY())</f>
        <v>15.11.2022</v>
      </c>
      <c r="D50" s="70" t="s">
        <v>303</v>
      </c>
      <c r="E50" s="70" t="s">
        <v>312</v>
      </c>
      <c r="F50" s="70">
        <v>5</v>
      </c>
      <c r="G50" s="73">
        <v>65000</v>
      </c>
      <c r="H50" s="68"/>
    </row>
    <row r="51" spans="1:8" ht="15" x14ac:dyDescent="0.25">
      <c r="A51" s="159"/>
      <c r="B51" s="161" t="s">
        <v>315</v>
      </c>
      <c r="C51" s="160" t="str">
        <f ca="1">"16.11."&amp;YEAR(TODAY())</f>
        <v>16.11.2022</v>
      </c>
      <c r="D51" s="70" t="s">
        <v>303</v>
      </c>
      <c r="E51" s="70" t="s">
        <v>310</v>
      </c>
      <c r="F51" s="70">
        <v>3</v>
      </c>
      <c r="G51" s="73">
        <v>6000</v>
      </c>
      <c r="H51" s="68"/>
    </row>
    <row r="52" spans="1:8" ht="15" x14ac:dyDescent="0.25">
      <c r="A52" s="159"/>
      <c r="B52" s="161" t="s">
        <v>317</v>
      </c>
      <c r="C52" s="160" t="str">
        <f ca="1">"17.11."&amp;YEAR(TODAY())</f>
        <v>17.11.2022</v>
      </c>
      <c r="D52" s="70" t="s">
        <v>309</v>
      </c>
      <c r="E52" s="70" t="s">
        <v>310</v>
      </c>
      <c r="F52" s="70">
        <v>10</v>
      </c>
      <c r="G52" s="73">
        <v>200000</v>
      </c>
      <c r="H52" s="68"/>
    </row>
    <row r="53" spans="1:8" ht="15" x14ac:dyDescent="0.25">
      <c r="A53" s="159"/>
      <c r="B53" s="161" t="s">
        <v>317</v>
      </c>
      <c r="C53" s="160" t="str">
        <f ca="1">"18.11."&amp;YEAR(TODAY())</f>
        <v>18.11.2022</v>
      </c>
      <c r="D53" s="70" t="s">
        <v>303</v>
      </c>
      <c r="E53" s="70" t="s">
        <v>310</v>
      </c>
      <c r="F53" s="70">
        <v>6</v>
      </c>
      <c r="G53" s="73">
        <v>9000</v>
      </c>
      <c r="H53" s="68"/>
    </row>
    <row r="54" spans="1:8" ht="15" x14ac:dyDescent="0.25">
      <c r="A54" s="159"/>
      <c r="B54" s="161" t="s">
        <v>317</v>
      </c>
      <c r="C54" s="160" t="str">
        <f ca="1">"19.11."&amp;YEAR(TODAY())</f>
        <v>19.11.2022</v>
      </c>
      <c r="D54" s="70" t="s">
        <v>309</v>
      </c>
      <c r="E54" s="70" t="s">
        <v>310</v>
      </c>
      <c r="F54" s="70">
        <v>4</v>
      </c>
      <c r="G54" s="73">
        <v>8000</v>
      </c>
      <c r="H54" s="68"/>
    </row>
    <row r="55" spans="1:8" ht="15" x14ac:dyDescent="0.25">
      <c r="A55" s="159"/>
      <c r="B55" s="161" t="s">
        <v>313</v>
      </c>
      <c r="C55" s="160" t="str">
        <f ca="1">"20.11."&amp;YEAR(TODAY())</f>
        <v>20.11.2022</v>
      </c>
      <c r="D55" s="70" t="s">
        <v>305</v>
      </c>
      <c r="E55" s="70" t="s">
        <v>310</v>
      </c>
      <c r="F55" s="70">
        <v>8</v>
      </c>
      <c r="G55" s="73">
        <v>180000</v>
      </c>
      <c r="H55" s="68"/>
    </row>
    <row r="56" spans="1:8" ht="15" x14ac:dyDescent="0.25">
      <c r="A56" s="159"/>
      <c r="B56" s="161" t="s">
        <v>317</v>
      </c>
      <c r="C56" s="160" t="str">
        <f ca="1">"21.11."&amp;YEAR(TODAY())</f>
        <v>21.11.2022</v>
      </c>
      <c r="D56" s="70" t="s">
        <v>303</v>
      </c>
      <c r="E56" s="70" t="s">
        <v>310</v>
      </c>
      <c r="F56" s="70">
        <v>6</v>
      </c>
      <c r="G56" s="73">
        <v>9000</v>
      </c>
      <c r="H56" s="68"/>
    </row>
    <row r="57" spans="1:8" ht="15" x14ac:dyDescent="0.25">
      <c r="A57" s="159"/>
      <c r="B57" s="161" t="s">
        <v>317</v>
      </c>
      <c r="C57" s="160" t="str">
        <f ca="1">"22.11."&amp;YEAR(TODAY())</f>
        <v>22.11.2022</v>
      </c>
      <c r="D57" s="70" t="s">
        <v>309</v>
      </c>
      <c r="E57" s="70" t="s">
        <v>310</v>
      </c>
      <c r="F57" s="70">
        <v>4</v>
      </c>
      <c r="G57" s="73">
        <v>8000</v>
      </c>
      <c r="H57" s="68"/>
    </row>
    <row r="58" spans="1:8" ht="15" x14ac:dyDescent="0.25">
      <c r="A58" s="159"/>
      <c r="B58" s="161" t="s">
        <v>313</v>
      </c>
      <c r="C58" s="160" t="str">
        <f ca="1">"23.11."&amp;YEAR(TODAY())</f>
        <v>23.11.2022</v>
      </c>
      <c r="D58" s="70" t="s">
        <v>305</v>
      </c>
      <c r="E58" s="70" t="s">
        <v>310</v>
      </c>
      <c r="F58" s="70">
        <v>8</v>
      </c>
      <c r="G58" s="73">
        <v>180000</v>
      </c>
      <c r="H58" s="68"/>
    </row>
    <row r="59" spans="1:8" ht="15" x14ac:dyDescent="0.25">
      <c r="A59" s="159"/>
      <c r="B59" s="161" t="s">
        <v>319</v>
      </c>
      <c r="C59" s="160" t="str">
        <f ca="1">"24.11."&amp;YEAR(TODAY())</f>
        <v>24.11.2022</v>
      </c>
      <c r="D59" s="70" t="s">
        <v>303</v>
      </c>
      <c r="E59" s="70" t="s">
        <v>312</v>
      </c>
      <c r="F59" s="70">
        <v>5</v>
      </c>
      <c r="G59" s="73">
        <v>7500</v>
      </c>
      <c r="H59" s="68"/>
    </row>
    <row r="60" spans="1:8" ht="15" x14ac:dyDescent="0.25">
      <c r="A60" s="159"/>
      <c r="B60" s="161" t="s">
        <v>313</v>
      </c>
      <c r="C60" s="160" t="str">
        <f ca="1">"25.11."&amp;YEAR(TODAY())</f>
        <v>25.11.2022</v>
      </c>
      <c r="D60" s="70" t="s">
        <v>309</v>
      </c>
      <c r="E60" s="70" t="s">
        <v>310</v>
      </c>
      <c r="F60" s="70">
        <v>3</v>
      </c>
      <c r="G60" s="73">
        <v>6000</v>
      </c>
      <c r="H60" s="68"/>
    </row>
    <row r="61" spans="1:8" ht="15" x14ac:dyDescent="0.25">
      <c r="A61" s="159"/>
      <c r="B61" s="161" t="s">
        <v>315</v>
      </c>
      <c r="C61" s="160" t="str">
        <f ca="1">"26.11."&amp;YEAR(TODAY())</f>
        <v>26.11.2022</v>
      </c>
      <c r="D61" s="70" t="s">
        <v>303</v>
      </c>
      <c r="E61" s="70" t="s">
        <v>310</v>
      </c>
      <c r="F61" s="70">
        <v>6</v>
      </c>
      <c r="G61" s="73">
        <v>190000</v>
      </c>
      <c r="H61" s="68"/>
    </row>
    <row r="62" spans="1:8" ht="15" x14ac:dyDescent="0.25">
      <c r="A62" s="159"/>
      <c r="B62" s="161" t="s">
        <v>319</v>
      </c>
      <c r="C62" s="160" t="str">
        <f ca="1">"27.11."&amp;YEAR(TODAY())</f>
        <v>27.11.2022</v>
      </c>
      <c r="D62" s="70" t="s">
        <v>309</v>
      </c>
      <c r="E62" s="70" t="s">
        <v>312</v>
      </c>
      <c r="F62" s="70">
        <v>5</v>
      </c>
      <c r="G62" s="73">
        <v>7500</v>
      </c>
      <c r="H62" s="68"/>
    </row>
    <row r="63" spans="1:8" ht="15" x14ac:dyDescent="0.25">
      <c r="A63" s="159"/>
      <c r="B63" s="161" t="s">
        <v>313</v>
      </c>
      <c r="C63" s="160" t="str">
        <f ca="1">"28.11."&amp;YEAR(TODAY())</f>
        <v>28.11.2022</v>
      </c>
      <c r="D63" s="70" t="s">
        <v>303</v>
      </c>
      <c r="E63" s="70" t="s">
        <v>310</v>
      </c>
      <c r="F63" s="70">
        <v>3</v>
      </c>
      <c r="G63" s="73">
        <v>6000</v>
      </c>
      <c r="H63" s="68"/>
    </row>
    <row r="64" spans="1:8" ht="15" x14ac:dyDescent="0.25">
      <c r="A64" s="159"/>
      <c r="B64" s="161" t="s">
        <v>315</v>
      </c>
      <c r="C64" s="160" t="str">
        <f ca="1">"29.11."&amp;YEAR(TODAY())</f>
        <v>29.11.2022</v>
      </c>
      <c r="D64" s="70" t="s">
        <v>309</v>
      </c>
      <c r="E64" s="70" t="s">
        <v>310</v>
      </c>
      <c r="F64" s="70">
        <v>6</v>
      </c>
      <c r="G64" s="73">
        <v>190000</v>
      </c>
      <c r="H64" s="68"/>
    </row>
    <row r="65" spans="1:8" ht="15" x14ac:dyDescent="0.25">
      <c r="A65" s="159"/>
      <c r="B65" s="161" t="s">
        <v>322</v>
      </c>
      <c r="C65" s="160" t="str">
        <f ca="1">"30.11."&amp;YEAR(TODAY())</f>
        <v>30.11.2022</v>
      </c>
      <c r="D65" s="70" t="s">
        <v>305</v>
      </c>
      <c r="E65" s="70" t="s">
        <v>311</v>
      </c>
      <c r="F65" s="70">
        <v>4</v>
      </c>
      <c r="G65" s="73">
        <v>6600</v>
      </c>
      <c r="H65" s="68"/>
    </row>
    <row r="66" spans="1:8" ht="15" x14ac:dyDescent="0.25">
      <c r="A66" s="159"/>
      <c r="B66" s="161" t="s">
        <v>320</v>
      </c>
      <c r="C66" s="160" t="str">
        <f ca="1">"01.12."&amp;YEAR(TODAY())</f>
        <v>01.12.2022</v>
      </c>
      <c r="D66" s="70" t="s">
        <v>309</v>
      </c>
      <c r="E66" s="70" t="s">
        <v>312</v>
      </c>
      <c r="F66" s="70">
        <v>6</v>
      </c>
      <c r="G66" s="73">
        <v>12000</v>
      </c>
      <c r="H66" s="68"/>
    </row>
    <row r="67" spans="1:8" ht="15" x14ac:dyDescent="0.25">
      <c r="A67" s="159"/>
      <c r="B67" s="161" t="s">
        <v>322</v>
      </c>
      <c r="C67" s="160" t="str">
        <f ca="1">"02.12."&amp;YEAR(TODAY())</f>
        <v>02.12.2022</v>
      </c>
      <c r="D67" s="70" t="s">
        <v>305</v>
      </c>
      <c r="E67" s="70" t="s">
        <v>311</v>
      </c>
      <c r="F67" s="70">
        <v>3</v>
      </c>
      <c r="G67" s="73">
        <v>110000</v>
      </c>
      <c r="H67" s="68"/>
    </row>
    <row r="68" spans="1:8" ht="15" x14ac:dyDescent="0.25">
      <c r="A68" s="159"/>
      <c r="B68" s="161" t="s">
        <v>322</v>
      </c>
      <c r="C68" s="160" t="str">
        <f ca="1">"03.12."&amp;YEAR(TODAY())</f>
        <v>03.12.2022</v>
      </c>
      <c r="D68" s="70" t="s">
        <v>309</v>
      </c>
      <c r="E68" s="70" t="s">
        <v>311</v>
      </c>
      <c r="F68" s="70">
        <v>4</v>
      </c>
      <c r="G68" s="73">
        <v>6600</v>
      </c>
      <c r="H68" s="68"/>
    </row>
    <row r="69" spans="1:8" ht="15" x14ac:dyDescent="0.25">
      <c r="A69" s="159"/>
      <c r="B69" s="161" t="s">
        <v>320</v>
      </c>
      <c r="C69" s="160" t="str">
        <f ca="1">"04.12."&amp;YEAR(TODAY())</f>
        <v>04.12.2022</v>
      </c>
      <c r="D69" s="70" t="s">
        <v>302</v>
      </c>
      <c r="E69" s="70" t="s">
        <v>312</v>
      </c>
      <c r="F69" s="70">
        <v>6</v>
      </c>
      <c r="G69" s="73">
        <v>12000</v>
      </c>
      <c r="H69" s="68"/>
    </row>
    <row r="70" spans="1:8" ht="15" x14ac:dyDescent="0.25">
      <c r="A70" s="159"/>
      <c r="B70" s="161" t="s">
        <v>322</v>
      </c>
      <c r="C70" s="160" t="str">
        <f ca="1">"05.12."&amp;YEAR(TODAY())</f>
        <v>05.12.2022</v>
      </c>
      <c r="D70" s="70" t="s">
        <v>303</v>
      </c>
      <c r="E70" s="70" t="s">
        <v>311</v>
      </c>
      <c r="F70" s="70">
        <v>3</v>
      </c>
      <c r="G70" s="73">
        <v>110000</v>
      </c>
      <c r="H70" s="68"/>
    </row>
    <row r="71" spans="1:8" ht="15" x14ac:dyDescent="0.25">
      <c r="A71" s="159"/>
      <c r="B71" s="161" t="s">
        <v>317</v>
      </c>
      <c r="C71" s="160" t="str">
        <f ca="1">"06.12."&amp;YEAR(TODAY())</f>
        <v>06.12.2022</v>
      </c>
      <c r="D71" s="70" t="s">
        <v>304</v>
      </c>
      <c r="E71" s="70" t="s">
        <v>310</v>
      </c>
      <c r="F71" s="70">
        <v>5</v>
      </c>
      <c r="G71" s="73">
        <v>8000</v>
      </c>
      <c r="H71" s="68"/>
    </row>
    <row r="72" spans="1:8" ht="15" x14ac:dyDescent="0.25">
      <c r="A72" s="159"/>
      <c r="B72" s="161" t="s">
        <v>319</v>
      </c>
      <c r="C72" s="160" t="str">
        <f ca="1">"07.12."&amp;YEAR(TODAY())</f>
        <v>07.12.2022</v>
      </c>
      <c r="D72" s="70" t="s">
        <v>302</v>
      </c>
      <c r="E72" s="70" t="s">
        <v>312</v>
      </c>
      <c r="F72" s="70">
        <v>4</v>
      </c>
      <c r="G72" s="73">
        <v>8000</v>
      </c>
      <c r="H72" s="68"/>
    </row>
    <row r="73" spans="1:8" ht="15" x14ac:dyDescent="0.25">
      <c r="A73" s="159"/>
      <c r="B73" s="161" t="s">
        <v>313</v>
      </c>
      <c r="C73" s="160" t="str">
        <f ca="1">"08.12."&amp;YEAR(TODAY())</f>
        <v>08.12.2022</v>
      </c>
      <c r="D73" s="70" t="s">
        <v>303</v>
      </c>
      <c r="E73" s="70" t="s">
        <v>310</v>
      </c>
      <c r="F73" s="70">
        <v>4</v>
      </c>
      <c r="G73" s="73">
        <v>80000</v>
      </c>
      <c r="H73" s="68"/>
    </row>
    <row r="74" spans="1:8" ht="15" x14ac:dyDescent="0.25">
      <c r="A74" s="159"/>
      <c r="B74" s="161" t="s">
        <v>317</v>
      </c>
      <c r="C74" s="160" t="str">
        <f ca="1">"09.12."&amp;YEAR(TODAY())</f>
        <v>09.12.2022</v>
      </c>
      <c r="D74" s="70" t="s">
        <v>304</v>
      </c>
      <c r="E74" s="70" t="s">
        <v>310</v>
      </c>
      <c r="F74" s="70">
        <v>5</v>
      </c>
      <c r="G74" s="73">
        <v>8000</v>
      </c>
      <c r="H74" s="68"/>
    </row>
    <row r="75" spans="1:8" ht="15" x14ac:dyDescent="0.25">
      <c r="A75" s="159"/>
      <c r="B75" s="161" t="s">
        <v>319</v>
      </c>
      <c r="C75" s="160" t="str">
        <f ca="1">"10.12."&amp;YEAR(TODAY())</f>
        <v>10.12.2022</v>
      </c>
      <c r="D75" s="70" t="s">
        <v>302</v>
      </c>
      <c r="E75" s="70" t="s">
        <v>312</v>
      </c>
      <c r="F75" s="70">
        <v>4</v>
      </c>
      <c r="G75" s="73">
        <v>8000</v>
      </c>
      <c r="H75" s="68"/>
    </row>
    <row r="76" spans="1:8" ht="15" x14ac:dyDescent="0.25">
      <c r="A76" s="159"/>
      <c r="B76" s="161" t="s">
        <v>313</v>
      </c>
      <c r="C76" s="160" t="str">
        <f ca="1">"11.12."&amp;YEAR(TODAY())</f>
        <v>11.12.2022</v>
      </c>
      <c r="D76" s="70" t="s">
        <v>302</v>
      </c>
      <c r="E76" s="70" t="s">
        <v>310</v>
      </c>
      <c r="F76" s="70">
        <v>4</v>
      </c>
      <c r="G76" s="73">
        <v>80000</v>
      </c>
      <c r="H76" s="68"/>
    </row>
    <row r="77" spans="1:8" ht="15" x14ac:dyDescent="0.25">
      <c r="A77" s="159"/>
      <c r="B77" s="161" t="s">
        <v>315</v>
      </c>
      <c r="C77" s="160" t="str">
        <f ca="1">"12.12."&amp;YEAR(TODAY())</f>
        <v>12.12.2022</v>
      </c>
      <c r="D77" s="70" t="s">
        <v>309</v>
      </c>
      <c r="E77" s="70" t="s">
        <v>310</v>
      </c>
      <c r="F77" s="70">
        <v>3</v>
      </c>
      <c r="G77" s="73">
        <v>9000</v>
      </c>
      <c r="H77" s="68"/>
    </row>
    <row r="78" spans="1:8" ht="15" x14ac:dyDescent="0.25">
      <c r="A78" s="159"/>
      <c r="B78" s="161" t="s">
        <v>315</v>
      </c>
      <c r="C78" s="160" t="str">
        <f ca="1">"13.12."&amp;YEAR(TODAY())</f>
        <v>13.12.2022</v>
      </c>
      <c r="D78" s="70" t="s">
        <v>309</v>
      </c>
      <c r="E78" s="70" t="s">
        <v>310</v>
      </c>
      <c r="F78" s="70">
        <v>7</v>
      </c>
      <c r="G78" s="73">
        <v>14000</v>
      </c>
      <c r="H78" s="68"/>
    </row>
    <row r="79" spans="1:8" ht="15" x14ac:dyDescent="0.25">
      <c r="A79" s="159"/>
      <c r="B79" s="161" t="s">
        <v>317</v>
      </c>
      <c r="C79" s="160" t="str">
        <f ca="1">"14.12."&amp;YEAR(TODAY())</f>
        <v>14.12.2022</v>
      </c>
      <c r="D79" s="70" t="s">
        <v>302</v>
      </c>
      <c r="E79" s="70" t="s">
        <v>310</v>
      </c>
      <c r="F79" s="70">
        <v>5</v>
      </c>
      <c r="G79" s="73">
        <v>45000</v>
      </c>
      <c r="H79" s="68"/>
    </row>
    <row r="80" spans="1:8" ht="15" x14ac:dyDescent="0.25">
      <c r="A80" s="159"/>
      <c r="B80" s="161" t="s">
        <v>315</v>
      </c>
      <c r="C80" s="160" t="str">
        <f ca="1">"15.12."&amp;YEAR(TODAY())</f>
        <v>15.12.2022</v>
      </c>
      <c r="D80" s="70" t="s">
        <v>302</v>
      </c>
      <c r="E80" s="70" t="s">
        <v>310</v>
      </c>
      <c r="F80" s="70">
        <v>3</v>
      </c>
      <c r="G80" s="73">
        <v>9000</v>
      </c>
      <c r="H80" s="68"/>
    </row>
    <row r="81" spans="1:8" ht="15" x14ac:dyDescent="0.25">
      <c r="A81" s="159"/>
      <c r="B81" s="161" t="s">
        <v>315</v>
      </c>
      <c r="C81" s="160" t="str">
        <f ca="1">"16.12."&amp;YEAR(TODAY())</f>
        <v>16.12.2022</v>
      </c>
      <c r="D81" s="70" t="s">
        <v>302</v>
      </c>
      <c r="E81" s="70" t="s">
        <v>310</v>
      </c>
      <c r="F81" s="70">
        <v>7</v>
      </c>
      <c r="G81" s="73">
        <v>14000</v>
      </c>
      <c r="H81" s="68"/>
    </row>
    <row r="82" spans="1:8" ht="15" x14ac:dyDescent="0.25">
      <c r="A82" s="159"/>
      <c r="B82" s="161" t="s">
        <v>317</v>
      </c>
      <c r="C82" s="160" t="str">
        <f ca="1">"17.12."&amp;YEAR(TODAY())</f>
        <v>17.12.2022</v>
      </c>
      <c r="D82" s="70" t="s">
        <v>302</v>
      </c>
      <c r="E82" s="70" t="s">
        <v>310</v>
      </c>
      <c r="F82" s="70">
        <v>5</v>
      </c>
      <c r="G82" s="73">
        <v>45000</v>
      </c>
      <c r="H82" s="68"/>
    </row>
    <row r="83" spans="1:8" ht="15" x14ac:dyDescent="0.25">
      <c r="A83" s="159"/>
      <c r="B83" s="161" t="s">
        <v>313</v>
      </c>
      <c r="C83" s="160" t="str">
        <f ca="1">"18.12."&amp;YEAR(TODAY())</f>
        <v>18.12.2022</v>
      </c>
      <c r="D83" s="70" t="s">
        <v>305</v>
      </c>
      <c r="E83" s="70" t="s">
        <v>310</v>
      </c>
      <c r="F83" s="70">
        <v>3</v>
      </c>
      <c r="G83" s="73">
        <v>18000</v>
      </c>
      <c r="H83" s="68"/>
    </row>
    <row r="84" spans="1:8" ht="15" x14ac:dyDescent="0.25">
      <c r="A84" s="159"/>
      <c r="B84" s="161" t="s">
        <v>319</v>
      </c>
      <c r="C84" s="160" t="str">
        <f ca="1">"19.12."&amp;YEAR(TODAY())</f>
        <v>19.12.2022</v>
      </c>
      <c r="D84" s="70" t="s">
        <v>309</v>
      </c>
      <c r="E84" s="70" t="s">
        <v>312</v>
      </c>
      <c r="F84" s="70">
        <v>6</v>
      </c>
      <c r="G84" s="73">
        <v>12000</v>
      </c>
      <c r="H84" s="68"/>
    </row>
    <row r="85" spans="1:8" ht="15" x14ac:dyDescent="0.25">
      <c r="A85" s="159"/>
      <c r="B85" s="161" t="s">
        <v>318</v>
      </c>
      <c r="C85" s="160" t="str">
        <f ca="1">"20.12."&amp;YEAR(TODAY())</f>
        <v>20.12.2022</v>
      </c>
      <c r="D85" s="70" t="s">
        <v>305</v>
      </c>
      <c r="E85" s="70" t="s">
        <v>311</v>
      </c>
      <c r="F85" s="70">
        <v>4</v>
      </c>
      <c r="G85" s="73">
        <v>38800</v>
      </c>
      <c r="H85" s="68"/>
    </row>
    <row r="86" spans="1:8" ht="15" x14ac:dyDescent="0.25">
      <c r="A86" s="159"/>
      <c r="B86" s="161" t="s">
        <v>313</v>
      </c>
      <c r="C86" s="160" t="str">
        <f ca="1">"21.12."&amp;YEAR(TODAY())</f>
        <v>21.12.2022</v>
      </c>
      <c r="D86" s="70" t="s">
        <v>309</v>
      </c>
      <c r="E86" s="70" t="s">
        <v>310</v>
      </c>
      <c r="F86" s="70">
        <v>3</v>
      </c>
      <c r="G86" s="73">
        <v>18000</v>
      </c>
      <c r="H86" s="68"/>
    </row>
    <row r="87" spans="1:8" ht="15" x14ac:dyDescent="0.25">
      <c r="A87" s="159"/>
      <c r="B87" s="161" t="s">
        <v>319</v>
      </c>
      <c r="C87" s="160" t="str">
        <f ca="1">"22.12."&amp;YEAR(TODAY())</f>
        <v>22.12.2022</v>
      </c>
      <c r="D87" s="70" t="s">
        <v>304</v>
      </c>
      <c r="E87" s="70" t="s">
        <v>312</v>
      </c>
      <c r="F87" s="70">
        <v>6</v>
      </c>
      <c r="G87" s="73">
        <v>12000</v>
      </c>
      <c r="H87" s="68"/>
    </row>
    <row r="88" spans="1:8" ht="15" x14ac:dyDescent="0.25">
      <c r="A88" s="159"/>
      <c r="B88" s="161" t="s">
        <v>318</v>
      </c>
      <c r="C88" s="160" t="str">
        <f ca="1">"23.12."&amp;YEAR(TODAY())</f>
        <v>23.12.2022</v>
      </c>
      <c r="D88" s="70" t="s">
        <v>304</v>
      </c>
      <c r="E88" s="70" t="s">
        <v>311</v>
      </c>
      <c r="F88" s="70">
        <v>4</v>
      </c>
      <c r="G88" s="73">
        <v>38800</v>
      </c>
      <c r="H88" s="68"/>
    </row>
    <row r="89" spans="1:8" ht="15" x14ac:dyDescent="0.25">
      <c r="A89" s="159"/>
      <c r="B89" s="161" t="s">
        <v>321</v>
      </c>
      <c r="C89" s="160" t="str">
        <f ca="1">"24.12."&amp;YEAR(TODAY())</f>
        <v>24.12.2022</v>
      </c>
      <c r="D89" s="70" t="s">
        <v>302</v>
      </c>
      <c r="E89" s="70" t="s">
        <v>311</v>
      </c>
      <c r="F89" s="70">
        <v>5</v>
      </c>
      <c r="G89" s="73">
        <v>30000</v>
      </c>
      <c r="H89" s="68"/>
    </row>
    <row r="90" spans="1:8" ht="15" x14ac:dyDescent="0.25">
      <c r="A90" s="159"/>
      <c r="B90" s="161" t="s">
        <v>320</v>
      </c>
      <c r="C90" s="160" t="str">
        <f ca="1">"25.12."&amp;YEAR(TODAY())</f>
        <v>25.12.2022</v>
      </c>
      <c r="D90" s="70" t="s">
        <v>302</v>
      </c>
      <c r="E90" s="70" t="s">
        <v>312</v>
      </c>
      <c r="F90" s="70">
        <v>4</v>
      </c>
      <c r="G90" s="73">
        <v>52000</v>
      </c>
      <c r="H90" s="68"/>
    </row>
    <row r="91" spans="1:8" ht="15" x14ac:dyDescent="0.25">
      <c r="A91" s="159"/>
      <c r="B91" s="161" t="s">
        <v>321</v>
      </c>
      <c r="C91" s="160" t="str">
        <f ca="1">"26.12."&amp;YEAR(TODAY())</f>
        <v>26.12.2022</v>
      </c>
      <c r="D91" s="70" t="s">
        <v>302</v>
      </c>
      <c r="E91" s="70" t="s">
        <v>311</v>
      </c>
      <c r="F91" s="70">
        <v>5</v>
      </c>
      <c r="G91" s="73">
        <v>30000</v>
      </c>
      <c r="H91" s="68"/>
    </row>
    <row r="92" spans="1:8" ht="15.6" thickBot="1" x14ac:dyDescent="0.3">
      <c r="A92" s="159"/>
      <c r="B92" s="162" t="s">
        <v>320</v>
      </c>
      <c r="C92" s="163" t="str">
        <f ca="1">"27.12."&amp;YEAR(TODAY())</f>
        <v>27.12.2022</v>
      </c>
      <c r="D92" s="74" t="s">
        <v>302</v>
      </c>
      <c r="E92" s="74" t="s">
        <v>312</v>
      </c>
      <c r="F92" s="74">
        <v>1</v>
      </c>
      <c r="G92" s="75">
        <v>2500</v>
      </c>
      <c r="H92" s="68"/>
    </row>
    <row r="93" spans="1:8" x14ac:dyDescent="0.25">
      <c r="B93" s="91"/>
      <c r="C93" s="69"/>
      <c r="D93" s="69"/>
      <c r="E93" s="69"/>
      <c r="F93" s="69"/>
      <c r="G93" s="69"/>
    </row>
  </sheetData>
  <sortState xmlns:xlrd2="http://schemas.microsoft.com/office/spreadsheetml/2017/richdata2" ref="C7:G92">
    <sortCondition ref="C7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18</vt:i4>
      </vt:variant>
    </vt:vector>
  </HeadingPairs>
  <TitlesOfParts>
    <vt:vector size="18" baseType="lpstr">
      <vt:lpstr>№1</vt:lpstr>
      <vt:lpstr>№2</vt:lpstr>
      <vt:lpstr> Курс валют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№10В</vt:lpstr>
      <vt:lpstr>№11</vt:lpstr>
      <vt:lpstr>№12</vt:lpstr>
      <vt:lpstr>№12.1К</vt:lpstr>
      <vt:lpstr>№12.2К</vt:lpstr>
      <vt:lpstr>№12.3К</vt:lpstr>
      <vt:lpstr>№12.4К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2019-05-31T16:07:08Z</dcterms:created>
  <dcterms:modified xsi:type="dcterms:W3CDTF">2022-03-17T10:22:56Z</dcterms:modified>
</cp:coreProperties>
</file>